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tables/table3.xml" ContentType="application/vnd.openxmlformats-officedocument.spreadsheetml.table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drawings/drawing9.xml" ContentType="application/vnd.openxmlformats-officedocument.drawing+xml"/>
  <Override PartName="/xl/drawings/drawing10.xml" ContentType="application/vnd.openxmlformats-officedocument.drawing+xml"/>
  <Override PartName="/xl/drawings/drawing11.xml" ContentType="application/vnd.openxmlformats-officedocument.drawing+xml"/>
  <Override PartName="/xl/drawings/drawing12.xml" ContentType="application/vnd.openxmlformats-officedocument.drawing+xml"/>
  <Override PartName="/xl/drawings/drawing13.xml" ContentType="application/vnd.openxmlformats-officedocument.drawing+xml"/>
  <Override PartName="/xl/drawings/drawing14.xml" ContentType="application/vnd.openxmlformats-officedocument.drawing+xml"/>
  <Override PartName="/xl/drawings/drawing15.xml" ContentType="application/vnd.openxmlformats-officedocument.drawing+xml"/>
  <Override PartName="/xl/drawings/drawing16.xml" ContentType="application/vnd.openxmlformats-officedocument.drawing+xml"/>
  <Override PartName="/xl/drawings/drawing17.xml" ContentType="application/vnd.openxmlformats-officedocument.drawing+xml"/>
  <Override PartName="/xl/drawings/drawing18.xml" ContentType="application/vnd.openxmlformats-officedocument.drawing+xml"/>
  <Override PartName="/xl/drawings/drawing19.xml" ContentType="application/vnd.openxmlformats-officedocument.drawing+xml"/>
  <Override PartName="/xl/drawings/drawing20.xml" ContentType="application/vnd.openxmlformats-officedocument.drawing+xml"/>
  <Override PartName="/xl/drawings/drawing21.xml" ContentType="application/vnd.openxmlformats-officedocument.drawing+xml"/>
  <Override PartName="/xl/drawings/drawing22.xml" ContentType="application/vnd.openxmlformats-officedocument.drawing+xml"/>
  <Override PartName="/xl/drawings/drawing23.xml" ContentType="application/vnd.openxmlformats-officedocument.drawing+xml"/>
  <Override PartName="/xl/drawings/drawing24.xml" ContentType="application/vnd.openxmlformats-officedocument.drawing+xml"/>
  <Override PartName="/xl/drawings/drawing25.xml" ContentType="application/vnd.openxmlformats-officedocument.drawing+xml"/>
  <Override PartName="/xl/drawings/drawing26.xml" ContentType="application/vnd.openxmlformats-officedocument.drawing+xml"/>
  <Override PartName="/xl/drawings/drawing27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328"/>
  <workbookPr showInkAnnotation="0" codeName="ThisWorkbook" autoCompressPictures="0"/>
  <mc:AlternateContent xmlns:mc="http://schemas.openxmlformats.org/markup-compatibility/2006">
    <mc:Choice Requires="x15">
      <x15ac:absPath xmlns:x15ac="http://schemas.microsoft.com/office/spreadsheetml/2010/11/ac" url="https://tfmercatenerife-my.sharepoint.com/personal/secretaria_mercatenerife_es/Documents/TRANSPARENCIA/JAD DOCUMENTACIÓN TRANSPARENCIA 2025/"/>
    </mc:Choice>
  </mc:AlternateContent>
  <xr:revisionPtr revIDLastSave="0" documentId="8_{A981ACFF-4B10-4C9B-88E7-4AF922E75BF8}" xr6:coauthVersionLast="47" xr6:coauthVersionMax="47" xr10:uidLastSave="{00000000-0000-0000-0000-000000000000}"/>
  <bookViews>
    <workbookView xWindow="30" yWindow="780" windowWidth="28770" windowHeight="15270" tabRatio="850" firstSheet="4" activeTab="10" xr2:uid="{B2AD4141-0A5D-4A44-91CB-21D92926A6AF}"/>
  </bookViews>
  <sheets>
    <sheet name="_GENERAL" sheetId="4" r:id="rId1"/>
    <sheet name="_CHECK_LIST" sheetId="37" r:id="rId2"/>
    <sheet name="FC-1_ORGANOS_GOBIERNO" sheetId="1" r:id="rId3"/>
    <sheet name="FC-2_ACCIONISTAS" sheetId="3" r:id="rId4"/>
    <sheet name="FC-3_CPyG" sheetId="7" r:id="rId5"/>
    <sheet name="FC-3_1_INF_ADIC_CPyG" sheetId="36" r:id="rId6"/>
    <sheet name="FC-4_ACTIVO" sheetId="9" r:id="rId7"/>
    <sheet name="FC-4_PASIVO" sheetId="14" r:id="rId8"/>
    <sheet name="FC-4_1_MOV_FP" sheetId="42" r:id="rId9"/>
    <sheet name="FC-5_EFE" sheetId="12" r:id="rId10"/>
    <sheet name="FC-6_Inversiones" sheetId="13" r:id="rId11"/>
    <sheet name="FC-7_INF" sheetId="15" r:id="rId12"/>
    <sheet name="FC-8_INV_FINANCIERAS" sheetId="17" r:id="rId13"/>
    <sheet name="FC-9_TRANS_SUBV" sheetId="39" r:id="rId14"/>
    <sheet name="FC-9_1_SUBV_REINT" sheetId="44" r:id="rId15"/>
    <sheet name="FC-10_DEUDAS" sheetId="23" r:id="rId16"/>
    <sheet name="FC-11_DEUDA_VIVA" sheetId="20" r:id="rId17"/>
    <sheet name="FC-12_PERFIL_VTO_DEUDA" sheetId="21" r:id="rId18"/>
    <sheet name="FC-13_PERSONAL" sheetId="25" r:id="rId19"/>
    <sheet name="FC-14_OPER_INTERNAS" sheetId="27" r:id="rId20"/>
    <sheet name="FC-15_ENCARGOS" sheetId="28" r:id="rId21"/>
    <sheet name="_FC-16_ESTAB_PRESUP" sheetId="29" r:id="rId22"/>
    <sheet name="_FC-16_1_ INF_ADIC_ESTAB_PRESUP" sheetId="43" r:id="rId23"/>
    <sheet name="_FC-17_FINANCIACIÓN" sheetId="31" r:id="rId24"/>
    <sheet name="FC-90" sheetId="34" r:id="rId25"/>
    <sheet name="_FC-90_DETALLE" sheetId="41" state="hidden" r:id="rId26"/>
    <sheet name="_FC-100" sheetId="45" state="hidden" r:id="rId27"/>
  </sheets>
  <definedNames>
    <definedName name="_12_1">_GENERAL!$AO$16</definedName>
    <definedName name="_12_2">_GENERAL!$AP$16</definedName>
    <definedName name="_13_1">_GENERAL!$AO$17</definedName>
    <definedName name="_13_2">_GENERAL!$AP$17</definedName>
    <definedName name="_14_1">_GENERAL!$AO$18</definedName>
    <definedName name="_14_2">_GENERAL!$AP$18</definedName>
    <definedName name="_15_1">_GENERAL!$AO$19</definedName>
    <definedName name="_15_2">_GENERAL!$AP$19</definedName>
    <definedName name="_16_1">_GENERAL!$AO$20</definedName>
    <definedName name="_16_2">_GENERAL!$AP$20</definedName>
    <definedName name="_17_1">_GENERAL!$AO$21</definedName>
    <definedName name="_17_2">_GENERAL!$AP$21</definedName>
    <definedName name="_18_1">_GENERAL!#REF!</definedName>
    <definedName name="_18_2">_GENERAL!#REF!</definedName>
    <definedName name="_19_1">_GENERAL!$AO$22</definedName>
    <definedName name="_19_2">_GENERAL!$AP$22</definedName>
    <definedName name="_20_1">_GENERAL!$AO$23</definedName>
    <definedName name="_20_2">_GENERAL!$AP$23</definedName>
    <definedName name="_21_1">_GENERAL!$AO$24</definedName>
    <definedName name="_21_2">_GENERAL!$AP$24</definedName>
    <definedName name="_22_1">_GENERAL!$AO$25</definedName>
    <definedName name="_22_2">_GENERAL!$AP$25</definedName>
    <definedName name="_23_1">_GENERAL!$AO$26</definedName>
    <definedName name="_23_2">_GENERAL!$AP$26</definedName>
    <definedName name="_24_1">_GENERAL!$AO$27</definedName>
    <definedName name="_24_2">_GENERAL!$AP$27</definedName>
    <definedName name="_25_1">_GENERAL!$AO$28</definedName>
    <definedName name="_25_2">_GENERAL!$AP$28</definedName>
    <definedName name="_26_1">_GENERAL!$AO$29</definedName>
    <definedName name="_26_2">_GENERAL!$AP$29</definedName>
    <definedName name="_27_1">_GENERAL!$AO$30</definedName>
    <definedName name="_27_2">_GENERAL!$AP$30</definedName>
    <definedName name="_28_1">_GENERAL!$AO$31</definedName>
    <definedName name="_28_2">_GENERAL!$AP$31</definedName>
    <definedName name="_29_1">_GENERAL!$AO$32</definedName>
    <definedName name="_29_2">_GENERAL!$AP$32</definedName>
    <definedName name="_30_1">_GENERAL!$AO$33</definedName>
    <definedName name="_30_2">_GENERAL!$AP$33</definedName>
    <definedName name="_31_1">_GENERAL!$AO$34</definedName>
    <definedName name="_31_2">_GENERAL!$AP$34</definedName>
    <definedName name="_32_1">_GENERAL!$AO$35</definedName>
    <definedName name="_32_2">_GENERAL!$AP$35</definedName>
    <definedName name="_33_1">_GENERAL!$AO$36</definedName>
    <definedName name="_33_2">_GENERAL!$AP$36</definedName>
    <definedName name="_34_1">_GENERAL!$AO$37</definedName>
    <definedName name="_34_2">_GENERAL!$AP$37</definedName>
    <definedName name="_5__1">_GENERAL!$AO$14</definedName>
    <definedName name="_5__2">_GENERAL!$AP$14</definedName>
    <definedName name="_6__1">_GENERAL!#REF!</definedName>
    <definedName name="_6__2">_GENERAL!#REF!</definedName>
    <definedName name="_7__1">_GENERAL!$AO$15</definedName>
    <definedName name="_7__2">_GENERAL!$AP$15</definedName>
    <definedName name="_xlnm.Print_Area" localSheetId="1">_CHECK_LIST!$B$5:$I$99</definedName>
    <definedName name="_xlnm.Print_Area" localSheetId="22">'_FC-16_1_ INF_ADIC_ESTAB_PRESUP'!$B$1:$L$35</definedName>
    <definedName name="_xlnm.Print_Area" localSheetId="21">'_FC-16_ESTAB_PRESUP'!$B$1:$H$83</definedName>
    <definedName name="_xlnm.Print_Area" localSheetId="23">'_FC-17_FINANCIACIÓN'!$B$1:$F$42</definedName>
    <definedName name="_xlnm.Print_Area" localSheetId="0">_GENERAL!$B$5:$N$52</definedName>
    <definedName name="_xlnm.Print_Area" localSheetId="2">'FC-1_ORGANOS_GOBIERNO'!$B$1:$J$48</definedName>
    <definedName name="_xlnm.Print_Area" localSheetId="15">'FC-10_DEUDAS'!$B$1:$T$109</definedName>
    <definedName name="_xlnm.Print_Area" localSheetId="16">'FC-11_DEUDA_VIVA'!$B$1:$J$66</definedName>
    <definedName name="_xlnm.Print_Area" localSheetId="17">'FC-12_PERFIL_VTO_DEUDA'!$B$1:$P$64</definedName>
    <definedName name="_xlnm.Print_Area" localSheetId="18">'FC-13_PERSONAL'!$B$1:$K$66</definedName>
    <definedName name="_xlnm.Print_Area" localSheetId="19">'FC-14_OPER_INTERNAS'!$B$1:$I$112</definedName>
    <definedName name="_xlnm.Print_Area" localSheetId="20">'FC-15_ENCARGOS'!$B$1:$I$35</definedName>
    <definedName name="_xlnm.Print_Area" localSheetId="3">'FC-2_ACCIONISTAS'!$B$1:$Q$71</definedName>
    <definedName name="_xlnm.Print_Area" localSheetId="5">'FC-3_1_INF_ADIC_CPyG'!$B$1:$J$105</definedName>
    <definedName name="_xlnm.Print_Area" localSheetId="4">'FC-3_CPyG'!$B$1:$I$103</definedName>
    <definedName name="_xlnm.Print_Area" localSheetId="8">'FC-4_1_MOV_FP'!$B$1:$Q$67</definedName>
    <definedName name="_xlnm.Print_Area" localSheetId="6">'FC-4_ACTIVO'!$B$1:$I$97</definedName>
    <definedName name="_xlnm.Print_Area" localSheetId="7">'FC-4_PASIVO'!$B$1:$I$95</definedName>
    <definedName name="_xlnm.Print_Area" localSheetId="9">'FC-5_EFE'!$B$1:$I$101</definedName>
    <definedName name="_xlnm.Print_Area" localSheetId="10">'FC-6_Inversiones'!$B$1:$S$55</definedName>
    <definedName name="_xlnm.Print_Area" localSheetId="11">'FC-7_INF'!$B$1:$P$47</definedName>
    <definedName name="_xlnm.Print_Area" localSheetId="12">'FC-8_INV_FINANCIERAS'!$B$1:$N$71</definedName>
    <definedName name="_xlnm.Print_Area" localSheetId="14">'FC-9_1_SUBV_REINT'!$B$5:$Q$81</definedName>
    <definedName name="_xlnm.Print_Area" localSheetId="13">'FC-9_TRANS_SUBV'!$B$1:$S$132</definedName>
    <definedName name="_xlnm.Print_Area" localSheetId="24">'FC-90'!$B$1:$F$64</definedName>
    <definedName name="CCAA">_GENERAL!$AR$14:$AR$15</definedName>
    <definedName name="Codigo">_GENERAL!$P$13</definedName>
    <definedName name="DEPENDENCIA">_GENERAL!$H$17</definedName>
    <definedName name="EE_DD">_GENERAL!$AN$14:$AN$40</definedName>
    <definedName name="ejercicio">_GENERAL!$D$17</definedName>
    <definedName name="Entidad">_GENERAL!$D$13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G75" i="9" l="1"/>
  <c r="E110" i="41"/>
  <c r="C28" i="17"/>
  <c r="K27" i="9"/>
  <c r="K37" i="7"/>
  <c r="K93" i="9"/>
  <c r="I28" i="15"/>
  <c r="I26" i="15"/>
  <c r="I17" i="15"/>
  <c r="I15" i="15"/>
  <c r="L58" i="23"/>
  <c r="H75" i="9"/>
  <c r="E68" i="36"/>
  <c r="F42" i="36"/>
  <c r="F38" i="36"/>
  <c r="F37" i="36"/>
  <c r="F26" i="36"/>
  <c r="E17" i="15"/>
  <c r="E27" i="9"/>
  <c r="C117" i="39"/>
  <c r="AG23" i="1"/>
  <c r="AF24" i="1"/>
  <c r="AF22" i="1" s="1"/>
  <c r="I19" i="1" s="1"/>
  <c r="AF25" i="1"/>
  <c r="AF26" i="1"/>
  <c r="AF27" i="1"/>
  <c r="AF28" i="1"/>
  <c r="AF29" i="1"/>
  <c r="AF30" i="1"/>
  <c r="AF31" i="1"/>
  <c r="AF32" i="1"/>
  <c r="AF33" i="1"/>
  <c r="AF34" i="1"/>
  <c r="AF35" i="1"/>
  <c r="AF36" i="1"/>
  <c r="AF37" i="1"/>
  <c r="AF38" i="1"/>
  <c r="AF23" i="1"/>
  <c r="AE23" i="1"/>
  <c r="AE22" i="1" s="1"/>
  <c r="I17" i="1" s="1"/>
  <c r="AG24" i="1"/>
  <c r="AG22" i="1" s="1"/>
  <c r="H21" i="37" s="1"/>
  <c r="AG25" i="1"/>
  <c r="AG26" i="1"/>
  <c r="AG27" i="1"/>
  <c r="AG28" i="1"/>
  <c r="AG29" i="1"/>
  <c r="AG30" i="1"/>
  <c r="AG31" i="1"/>
  <c r="AG32" i="1"/>
  <c r="AG33" i="1"/>
  <c r="AG34" i="1"/>
  <c r="AG35" i="1"/>
  <c r="AG36" i="1"/>
  <c r="AG37" i="1"/>
  <c r="AG38" i="1"/>
  <c r="AD41" i="1"/>
  <c r="AD40" i="1"/>
  <c r="C22" i="45"/>
  <c r="C21" i="45"/>
  <c r="C20" i="45"/>
  <c r="E19" i="45"/>
  <c r="E15" i="45"/>
  <c r="E14" i="45"/>
  <c r="D9" i="45"/>
  <c r="E6" i="45"/>
  <c r="D3" i="45"/>
  <c r="D2" i="45"/>
  <c r="C16" i="44"/>
  <c r="C31" i="44"/>
  <c r="N20" i="44"/>
  <c r="N21" i="44"/>
  <c r="N22" i="44"/>
  <c r="P29" i="44"/>
  <c r="O29" i="44"/>
  <c r="L29" i="44"/>
  <c r="K29" i="44"/>
  <c r="J29" i="44"/>
  <c r="I29" i="44"/>
  <c r="C29" i="44"/>
  <c r="C79" i="44"/>
  <c r="N28" i="44"/>
  <c r="N27" i="44"/>
  <c r="N26" i="44"/>
  <c r="N25" i="44"/>
  <c r="N29" i="44" s="1"/>
  <c r="N24" i="44"/>
  <c r="N23" i="44"/>
  <c r="N19" i="44"/>
  <c r="N18" i="44"/>
  <c r="L18" i="44"/>
  <c r="K18" i="44"/>
  <c r="J18" i="44"/>
  <c r="P38" i="1"/>
  <c r="L38" i="1" s="1"/>
  <c r="P37" i="1"/>
  <c r="L37" i="1" s="1"/>
  <c r="P36" i="1"/>
  <c r="L36" i="1" s="1"/>
  <c r="P35" i="1"/>
  <c r="L35" i="1"/>
  <c r="P34" i="1"/>
  <c r="L34" i="1" s="1"/>
  <c r="P33" i="1"/>
  <c r="L33" i="1" s="1"/>
  <c r="P32" i="1"/>
  <c r="L32" i="1" s="1"/>
  <c r="P31" i="1"/>
  <c r="L31" i="1"/>
  <c r="P30" i="1"/>
  <c r="L30" i="1" s="1"/>
  <c r="P29" i="1"/>
  <c r="L29" i="1" s="1"/>
  <c r="AA27" i="1"/>
  <c r="AA25" i="1"/>
  <c r="AA23" i="1"/>
  <c r="E73" i="36"/>
  <c r="O29" i="1"/>
  <c r="O30" i="1"/>
  <c r="O31" i="1"/>
  <c r="O32" i="1"/>
  <c r="O33" i="1"/>
  <c r="O34" i="1"/>
  <c r="O35" i="1"/>
  <c r="O36" i="1"/>
  <c r="O37" i="1"/>
  <c r="O38" i="1"/>
  <c r="AD24" i="1"/>
  <c r="AE24" i="1"/>
  <c r="AD25" i="1"/>
  <c r="AE25" i="1"/>
  <c r="AD26" i="1"/>
  <c r="AE26" i="1"/>
  <c r="AD27" i="1"/>
  <c r="AE27" i="1"/>
  <c r="AD28" i="1"/>
  <c r="AE28" i="1"/>
  <c r="AD29" i="1"/>
  <c r="AE29" i="1"/>
  <c r="AD30" i="1"/>
  <c r="AE30" i="1"/>
  <c r="AD31" i="1"/>
  <c r="AE31" i="1"/>
  <c r="AD32" i="1"/>
  <c r="AE32" i="1"/>
  <c r="AD33" i="1"/>
  <c r="AE33" i="1"/>
  <c r="AD34" i="1"/>
  <c r="AE34" i="1"/>
  <c r="AD35" i="1"/>
  <c r="AE35" i="1"/>
  <c r="AD36" i="1"/>
  <c r="AE36" i="1"/>
  <c r="AD37" i="1"/>
  <c r="AE37" i="1"/>
  <c r="AD38" i="1"/>
  <c r="AE38" i="1"/>
  <c r="AD23" i="1"/>
  <c r="AD22" i="1" s="1"/>
  <c r="I16" i="1" s="1"/>
  <c r="Z16" i="1" s="1"/>
  <c r="G53" i="13"/>
  <c r="G51" i="13"/>
  <c r="F49" i="13"/>
  <c r="M13" i="21"/>
  <c r="M50" i="21"/>
  <c r="F16" i="21"/>
  <c r="G54" i="21"/>
  <c r="H54" i="21"/>
  <c r="I54" i="21"/>
  <c r="J54" i="21"/>
  <c r="K54" i="21"/>
  <c r="L54" i="21"/>
  <c r="M54" i="21"/>
  <c r="N54" i="21"/>
  <c r="O54" i="21"/>
  <c r="O51" i="21"/>
  <c r="N51" i="21"/>
  <c r="M51" i="21"/>
  <c r="L51" i="21"/>
  <c r="K51" i="21"/>
  <c r="J51" i="21"/>
  <c r="I51" i="21"/>
  <c r="H51" i="21"/>
  <c r="G51" i="21"/>
  <c r="F51" i="21"/>
  <c r="F54" i="21"/>
  <c r="O42" i="21"/>
  <c r="O39" i="21"/>
  <c r="O48" i="21" s="1"/>
  <c r="O38" i="21"/>
  <c r="O21" i="21"/>
  <c r="O16" i="21"/>
  <c r="N42" i="21"/>
  <c r="N39" i="21"/>
  <c r="N38" i="21"/>
  <c r="N21" i="21"/>
  <c r="N16" i="21"/>
  <c r="N33" i="21" s="1"/>
  <c r="M42" i="21"/>
  <c r="M39" i="21"/>
  <c r="M38" i="21"/>
  <c r="M21" i="21"/>
  <c r="M16" i="21"/>
  <c r="M33" i="21" s="1"/>
  <c r="M48" i="21" s="1"/>
  <c r="L42" i="21"/>
  <c r="L48" i="21" s="1"/>
  <c r="L39" i="21"/>
  <c r="L38" i="21"/>
  <c r="L21" i="21"/>
  <c r="L16" i="21"/>
  <c r="K42" i="21"/>
  <c r="K39" i="21"/>
  <c r="K38" i="21"/>
  <c r="K21" i="21"/>
  <c r="K33" i="21" s="1"/>
  <c r="K48" i="21" s="1"/>
  <c r="K16" i="21"/>
  <c r="J42" i="21"/>
  <c r="J39" i="21"/>
  <c r="J38" i="21"/>
  <c r="J21" i="21"/>
  <c r="J16" i="21"/>
  <c r="I42" i="21"/>
  <c r="I39" i="21"/>
  <c r="I38" i="21"/>
  <c r="I21" i="21"/>
  <c r="I33" i="21" s="1"/>
  <c r="I48" i="21" s="1"/>
  <c r="I16" i="21"/>
  <c r="H42" i="21"/>
  <c r="H39" i="21"/>
  <c r="H38" i="21"/>
  <c r="H21" i="21"/>
  <c r="H16" i="21"/>
  <c r="H33" i="21" s="1"/>
  <c r="G42" i="21"/>
  <c r="G39" i="21"/>
  <c r="G38" i="21"/>
  <c r="G21" i="21"/>
  <c r="G16" i="21"/>
  <c r="G33" i="21"/>
  <c r="G48" i="21" s="1"/>
  <c r="F42" i="21"/>
  <c r="F39" i="21"/>
  <c r="F38" i="21"/>
  <c r="F21" i="21"/>
  <c r="G17" i="20"/>
  <c r="F17" i="20"/>
  <c r="I17" i="20"/>
  <c r="I34" i="20" s="1"/>
  <c r="I49" i="20" s="1"/>
  <c r="H17" i="20"/>
  <c r="F56" i="20"/>
  <c r="F39" i="20"/>
  <c r="I22" i="20"/>
  <c r="H22" i="20"/>
  <c r="G22" i="20"/>
  <c r="F22" i="20"/>
  <c r="F34" i="20"/>
  <c r="H34" i="20"/>
  <c r="G34" i="20"/>
  <c r="O33" i="21"/>
  <c r="F33" i="21"/>
  <c r="J33" i="21"/>
  <c r="J48" i="21" s="1"/>
  <c r="L33" i="21"/>
  <c r="F48" i="21"/>
  <c r="I56" i="20"/>
  <c r="H56" i="20"/>
  <c r="G56" i="20"/>
  <c r="I53" i="20"/>
  <c r="H53" i="20"/>
  <c r="G53" i="20"/>
  <c r="F53" i="20"/>
  <c r="I43" i="20"/>
  <c r="H43" i="20"/>
  <c r="G43" i="20"/>
  <c r="F43" i="20"/>
  <c r="I40" i="20"/>
  <c r="H40" i="20"/>
  <c r="H49" i="20" s="1"/>
  <c r="G40" i="20"/>
  <c r="F40" i="20"/>
  <c r="I39" i="20"/>
  <c r="H39" i="20"/>
  <c r="G39" i="20"/>
  <c r="E97" i="41"/>
  <c r="P64" i="44"/>
  <c r="O64" i="44"/>
  <c r="M64" i="44"/>
  <c r="L64" i="44"/>
  <c r="K64" i="44"/>
  <c r="K65" i="44" s="1"/>
  <c r="J64" i="44"/>
  <c r="I64" i="44"/>
  <c r="P61" i="44"/>
  <c r="O61" i="44"/>
  <c r="M61" i="44"/>
  <c r="L61" i="44"/>
  <c r="K61" i="44"/>
  <c r="J61" i="44"/>
  <c r="I61" i="44"/>
  <c r="P13" i="4"/>
  <c r="F49" i="20"/>
  <c r="G49" i="20"/>
  <c r="E31" i="7"/>
  <c r="E30" i="7"/>
  <c r="H31" i="7"/>
  <c r="H30" i="7" s="1"/>
  <c r="E95" i="41" s="1"/>
  <c r="G31" i="7"/>
  <c r="G30" i="7"/>
  <c r="F31" i="7"/>
  <c r="F30" i="7" s="1"/>
  <c r="E78" i="36"/>
  <c r="N53" i="44"/>
  <c r="N35" i="44"/>
  <c r="N64" i="44"/>
  <c r="N36" i="44"/>
  <c r="N37" i="44"/>
  <c r="N38" i="44"/>
  <c r="N39" i="44"/>
  <c r="N40" i="44"/>
  <c r="N41" i="44"/>
  <c r="N42" i="44"/>
  <c r="N43" i="44"/>
  <c r="N44" i="44"/>
  <c r="N45" i="44"/>
  <c r="N46" i="44"/>
  <c r="N47" i="44"/>
  <c r="N48" i="44"/>
  <c r="N49" i="44"/>
  <c r="N50" i="44"/>
  <c r="N51" i="44"/>
  <c r="N52" i="44"/>
  <c r="N54" i="44"/>
  <c r="N55" i="44"/>
  <c r="N56" i="44"/>
  <c r="N57" i="44"/>
  <c r="N58" i="44"/>
  <c r="J37" i="3"/>
  <c r="C64" i="42"/>
  <c r="C63" i="42"/>
  <c r="C37" i="42"/>
  <c r="C36" i="42"/>
  <c r="D64" i="42"/>
  <c r="D63" i="42"/>
  <c r="D37" i="42"/>
  <c r="D36" i="42"/>
  <c r="K36" i="42"/>
  <c r="I36" i="42"/>
  <c r="I64" i="42"/>
  <c r="E17" i="45"/>
  <c r="K64" i="42"/>
  <c r="L64" i="42" s="1"/>
  <c r="H17" i="37"/>
  <c r="H16" i="37"/>
  <c r="AJ15" i="13"/>
  <c r="E46" i="13"/>
  <c r="F46" i="13"/>
  <c r="AJ19" i="13"/>
  <c r="AJ18" i="13"/>
  <c r="AJ17" i="13"/>
  <c r="AJ16" i="13"/>
  <c r="J33" i="44"/>
  <c r="N34" i="44"/>
  <c r="N61" i="44"/>
  <c r="N62" i="44" s="1"/>
  <c r="I59" i="44"/>
  <c r="I66" i="44" s="1"/>
  <c r="G75" i="39"/>
  <c r="G79" i="39" s="1"/>
  <c r="I15" i="20"/>
  <c r="H15" i="20"/>
  <c r="G15" i="20"/>
  <c r="Q80" i="23"/>
  <c r="Q81" i="23"/>
  <c r="Q82" i="23"/>
  <c r="Q83" i="23"/>
  <c r="Q84" i="23"/>
  <c r="Q85" i="23"/>
  <c r="Q86" i="23"/>
  <c r="Q87" i="23"/>
  <c r="Q88" i="23"/>
  <c r="Q89" i="23"/>
  <c r="Q90" i="23"/>
  <c r="Q91" i="23"/>
  <c r="Q92" i="23"/>
  <c r="Q93" i="23"/>
  <c r="Q94" i="23"/>
  <c r="Q58" i="23"/>
  <c r="Q59" i="23"/>
  <c r="Q60" i="23"/>
  <c r="Q61" i="23"/>
  <c r="Q62" i="23"/>
  <c r="Q63" i="23"/>
  <c r="Q64" i="23"/>
  <c r="Q65" i="23"/>
  <c r="Q66" i="23"/>
  <c r="Q67" i="23"/>
  <c r="Q68" i="23"/>
  <c r="Q69" i="23"/>
  <c r="Q70" i="23"/>
  <c r="Q71" i="23"/>
  <c r="Q72" i="23"/>
  <c r="E245" i="41"/>
  <c r="F69" i="41"/>
  <c r="C64" i="44"/>
  <c r="P63" i="44"/>
  <c r="P65" i="44" s="1"/>
  <c r="O63" i="44"/>
  <c r="N63" i="44"/>
  <c r="M63" i="44"/>
  <c r="M65" i="44" s="1"/>
  <c r="F50" i="41" s="1"/>
  <c r="H50" i="41" s="1"/>
  <c r="L63" i="44"/>
  <c r="L65" i="44" s="1"/>
  <c r="K63" i="44"/>
  <c r="J63" i="44"/>
  <c r="I63" i="44"/>
  <c r="I65" i="44" s="1"/>
  <c r="E244" i="41"/>
  <c r="F68" i="41"/>
  <c r="C61" i="44"/>
  <c r="P60" i="44"/>
  <c r="P62" i="44" s="1"/>
  <c r="O60" i="44"/>
  <c r="O62" i="44" s="1"/>
  <c r="N60" i="44"/>
  <c r="M60" i="44"/>
  <c r="L60" i="44"/>
  <c r="L62" i="44" s="1"/>
  <c r="K60" i="44"/>
  <c r="J60" i="44"/>
  <c r="I60" i="44"/>
  <c r="P59" i="44"/>
  <c r="P66" i="44" s="1"/>
  <c r="H72" i="37" s="1"/>
  <c r="O59" i="44"/>
  <c r="O66" i="44" s="1"/>
  <c r="H73" i="37" s="1"/>
  <c r="M59" i="44"/>
  <c r="M66" i="44"/>
  <c r="L59" i="44"/>
  <c r="L66" i="44" s="1"/>
  <c r="K59" i="44"/>
  <c r="F67" i="41" s="1"/>
  <c r="H67" i="41" s="1"/>
  <c r="E243" i="41" s="1"/>
  <c r="F243" i="41" s="1"/>
  <c r="J59" i="44"/>
  <c r="J66" i="44" s="1"/>
  <c r="G72" i="37" s="1"/>
  <c r="N33" i="44"/>
  <c r="M33" i="44"/>
  <c r="L33" i="44"/>
  <c r="K33" i="44"/>
  <c r="D9" i="44"/>
  <c r="P6" i="44"/>
  <c r="D3" i="44"/>
  <c r="D2" i="44"/>
  <c r="L28" i="23"/>
  <c r="G79" i="37"/>
  <c r="Q42" i="23"/>
  <c r="K66" i="44"/>
  <c r="M62" i="44"/>
  <c r="F30" i="41"/>
  <c r="O65" i="44"/>
  <c r="I62" i="44"/>
  <c r="J65" i="44"/>
  <c r="J62" i="44"/>
  <c r="N65" i="44"/>
  <c r="Q37" i="23"/>
  <c r="Q38" i="23"/>
  <c r="Q39" i="23"/>
  <c r="Q40" i="23"/>
  <c r="Q41" i="23"/>
  <c r="Q43" i="23"/>
  <c r="Q44" i="23"/>
  <c r="Q45" i="23"/>
  <c r="Q46" i="23"/>
  <c r="Q47" i="23"/>
  <c r="Q48" i="23"/>
  <c r="Q49" i="23"/>
  <c r="Q50" i="23"/>
  <c r="Q36" i="23"/>
  <c r="Q51" i="23" s="1"/>
  <c r="H88" i="37" s="1"/>
  <c r="Q19" i="23"/>
  <c r="Q20" i="23"/>
  <c r="Q21" i="23"/>
  <c r="Q22" i="23"/>
  <c r="Q23" i="23"/>
  <c r="Q24" i="23"/>
  <c r="Q25" i="23"/>
  <c r="Q26" i="23"/>
  <c r="Q27" i="23"/>
  <c r="Q18" i="23"/>
  <c r="M17" i="23"/>
  <c r="S51" i="23"/>
  <c r="H81" i="37"/>
  <c r="R51" i="23"/>
  <c r="H82" i="37" s="1"/>
  <c r="P51" i="23"/>
  <c r="O51" i="23"/>
  <c r="N51" i="23"/>
  <c r="F143" i="41"/>
  <c r="M51" i="23"/>
  <c r="F62" i="41"/>
  <c r="L51" i="23"/>
  <c r="G81" i="37" s="1"/>
  <c r="L67" i="37" s="1"/>
  <c r="K51" i="23"/>
  <c r="Q35" i="23"/>
  <c r="P35" i="23"/>
  <c r="O35" i="23"/>
  <c r="N35" i="23"/>
  <c r="M35" i="23"/>
  <c r="L35" i="23"/>
  <c r="H66" i="12"/>
  <c r="G66" i="12"/>
  <c r="F66" i="12"/>
  <c r="L62" i="42"/>
  <c r="F120" i="41"/>
  <c r="H120" i="41" s="1"/>
  <c r="L35" i="42"/>
  <c r="E92" i="36"/>
  <c r="E91" i="36"/>
  <c r="E90" i="36"/>
  <c r="H58" i="7"/>
  <c r="G58" i="7"/>
  <c r="F58" i="7"/>
  <c r="E58" i="7"/>
  <c r="M6" i="4"/>
  <c r="G101" i="27"/>
  <c r="G56" i="27"/>
  <c r="F118" i="41"/>
  <c r="H101" i="27"/>
  <c r="H56" i="27"/>
  <c r="H87" i="14"/>
  <c r="G87" i="14"/>
  <c r="F87" i="14"/>
  <c r="F79" i="14" s="1"/>
  <c r="E87" i="14"/>
  <c r="H24" i="37"/>
  <c r="H14" i="37"/>
  <c r="G14" i="37"/>
  <c r="F14" i="37"/>
  <c r="E14" i="37"/>
  <c r="F14" i="14"/>
  <c r="F14" i="9"/>
  <c r="F14" i="7"/>
  <c r="H69" i="41"/>
  <c r="H68" i="41"/>
  <c r="U73" i="39"/>
  <c r="U72" i="39"/>
  <c r="U71" i="39"/>
  <c r="U70" i="39"/>
  <c r="U69" i="39"/>
  <c r="U68" i="39"/>
  <c r="U67" i="39"/>
  <c r="U66" i="39"/>
  <c r="U65" i="39"/>
  <c r="U64" i="39"/>
  <c r="U63" i="39"/>
  <c r="U62" i="39"/>
  <c r="U61" i="39"/>
  <c r="U60" i="39"/>
  <c r="U59" i="39"/>
  <c r="U58" i="39"/>
  <c r="U57" i="39"/>
  <c r="U56" i="39"/>
  <c r="U55" i="39"/>
  <c r="U54" i="39"/>
  <c r="H31" i="41"/>
  <c r="E27" i="41"/>
  <c r="F186" i="41"/>
  <c r="H14" i="12"/>
  <c r="G14" i="12"/>
  <c r="F14" i="12"/>
  <c r="F18" i="14"/>
  <c r="F22" i="14"/>
  <c r="F28" i="14"/>
  <c r="F35" i="14"/>
  <c r="F44" i="14"/>
  <c r="F43" i="14" s="1"/>
  <c r="F54" i="14"/>
  <c r="F49" i="14"/>
  <c r="F58" i="14"/>
  <c r="F67" i="14"/>
  <c r="F75" i="14"/>
  <c r="F70" i="14"/>
  <c r="F65" i="14" s="1"/>
  <c r="F80" i="14"/>
  <c r="H14" i="14"/>
  <c r="G14" i="14"/>
  <c r="E14" i="14"/>
  <c r="F17" i="9"/>
  <c r="F26" i="9"/>
  <c r="F30" i="9"/>
  <c r="F33" i="9"/>
  <c r="F40" i="9"/>
  <c r="F54" i="9"/>
  <c r="F57" i="9"/>
  <c r="F52" i="9" s="1"/>
  <c r="F50" i="9" s="1"/>
  <c r="F60" i="9"/>
  <c r="F66" i="9"/>
  <c r="K66" i="9" s="1"/>
  <c r="F73" i="9"/>
  <c r="F65" i="9" s="1"/>
  <c r="F77" i="9"/>
  <c r="F84" i="9"/>
  <c r="F92" i="9"/>
  <c r="K92" i="9" s="1"/>
  <c r="H14" i="9"/>
  <c r="G14" i="9"/>
  <c r="E14" i="9"/>
  <c r="F16" i="7"/>
  <c r="K16" i="7" s="1"/>
  <c r="F22" i="7"/>
  <c r="F27" i="7"/>
  <c r="F36" i="7"/>
  <c r="F42" i="7"/>
  <c r="F49" i="7"/>
  <c r="F53" i="7"/>
  <c r="F63" i="7"/>
  <c r="F69" i="7"/>
  <c r="F72" i="7"/>
  <c r="F68" i="7" s="1"/>
  <c r="F91" i="7" s="1"/>
  <c r="F76" i="7"/>
  <c r="F80" i="7"/>
  <c r="F84" i="7"/>
  <c r="F87" i="7"/>
  <c r="H54" i="14"/>
  <c r="H49" i="14" s="1"/>
  <c r="G54" i="14"/>
  <c r="G49" i="14"/>
  <c r="E54" i="14"/>
  <c r="E49" i="14" s="1"/>
  <c r="H75" i="14"/>
  <c r="G75" i="14"/>
  <c r="E75" i="14"/>
  <c r="E70" i="14" s="1"/>
  <c r="E58" i="14"/>
  <c r="F16" i="9"/>
  <c r="F96" i="9" s="1"/>
  <c r="F48" i="7"/>
  <c r="AG58" i="3"/>
  <c r="H25" i="37"/>
  <c r="AG17" i="3"/>
  <c r="H23" i="37" s="1"/>
  <c r="H20" i="37"/>
  <c r="H19" i="37"/>
  <c r="Z27" i="1"/>
  <c r="Z38" i="1" s="1"/>
  <c r="H18" i="37" s="1"/>
  <c r="Z25" i="1"/>
  <c r="Z23" i="1"/>
  <c r="H73" i="9"/>
  <c r="H66" i="9"/>
  <c r="E73" i="9"/>
  <c r="F66" i="7"/>
  <c r="F93" i="7" s="1"/>
  <c r="F96" i="7" s="1"/>
  <c r="F101" i="7" s="1"/>
  <c r="F28" i="37" s="1"/>
  <c r="H65" i="9"/>
  <c r="G48" i="39"/>
  <c r="G47" i="39"/>
  <c r="G46" i="39"/>
  <c r="J48" i="39"/>
  <c r="J47" i="39"/>
  <c r="J46" i="39"/>
  <c r="N48" i="39"/>
  <c r="E30" i="31"/>
  <c r="M48" i="39"/>
  <c r="N47" i="39"/>
  <c r="E31" i="31" s="1"/>
  <c r="M47" i="39"/>
  <c r="N46" i="39"/>
  <c r="E29" i="31" s="1"/>
  <c r="E28" i="31" s="1"/>
  <c r="M46" i="39"/>
  <c r="N45" i="39"/>
  <c r="M45" i="39"/>
  <c r="J78" i="39"/>
  <c r="E26" i="31" s="1"/>
  <c r="I78" i="39"/>
  <c r="H78" i="39"/>
  <c r="G78" i="39"/>
  <c r="J77" i="39"/>
  <c r="E27" i="31"/>
  <c r="I77" i="39"/>
  <c r="H77" i="39"/>
  <c r="G77" i="39"/>
  <c r="J76" i="39"/>
  <c r="I76" i="39"/>
  <c r="H76" i="39"/>
  <c r="H79" i="39" s="1"/>
  <c r="G76" i="39"/>
  <c r="J75" i="39"/>
  <c r="E25" i="31" s="1"/>
  <c r="E24" i="31" s="1"/>
  <c r="I75" i="39"/>
  <c r="H75" i="39"/>
  <c r="J40" i="39"/>
  <c r="U40" i="39" s="1"/>
  <c r="J39" i="39"/>
  <c r="U39" i="39" s="1"/>
  <c r="J38" i="39"/>
  <c r="J37" i="39"/>
  <c r="J36" i="39"/>
  <c r="J35" i="39"/>
  <c r="J34" i="39"/>
  <c r="J33" i="39"/>
  <c r="J32" i="39"/>
  <c r="J31" i="39"/>
  <c r="U31" i="39" s="1"/>
  <c r="J30" i="39"/>
  <c r="J29" i="39"/>
  <c r="J28" i="39"/>
  <c r="U28" i="39" s="1"/>
  <c r="J27" i="39"/>
  <c r="J26" i="39"/>
  <c r="J25" i="39"/>
  <c r="J24" i="39"/>
  <c r="J23" i="39"/>
  <c r="J22" i="39"/>
  <c r="G40" i="39"/>
  <c r="G39" i="39"/>
  <c r="G38" i="39"/>
  <c r="U38" i="39" s="1"/>
  <c r="G37" i="39"/>
  <c r="U37" i="39" s="1"/>
  <c r="G36" i="39"/>
  <c r="G35" i="39"/>
  <c r="U35" i="39" s="1"/>
  <c r="G34" i="39"/>
  <c r="U34" i="39" s="1"/>
  <c r="G33" i="39"/>
  <c r="G32" i="39"/>
  <c r="G31" i="39"/>
  <c r="G30" i="39"/>
  <c r="U30" i="39" s="1"/>
  <c r="G29" i="39"/>
  <c r="G28" i="39"/>
  <c r="G27" i="39"/>
  <c r="U27" i="39" s="1"/>
  <c r="G26" i="39"/>
  <c r="U26" i="39" s="1"/>
  <c r="G25" i="39"/>
  <c r="G24" i="39"/>
  <c r="G23" i="39"/>
  <c r="G22" i="39"/>
  <c r="U22" i="39" s="1"/>
  <c r="J21" i="39"/>
  <c r="U21" i="39" s="1"/>
  <c r="G21" i="39"/>
  <c r="U25" i="39"/>
  <c r="U36" i="39"/>
  <c r="U32" i="39"/>
  <c r="U29" i="39"/>
  <c r="U33" i="39"/>
  <c r="U23" i="39"/>
  <c r="U24" i="39"/>
  <c r="G45" i="39"/>
  <c r="J45" i="39"/>
  <c r="J88" i="39"/>
  <c r="J90" i="39"/>
  <c r="J89" i="39"/>
  <c r="U89" i="39" s="1"/>
  <c r="J87" i="39"/>
  <c r="U87" i="39" s="1"/>
  <c r="J86" i="39"/>
  <c r="G90" i="39"/>
  <c r="U90" i="39"/>
  <c r="G89" i="39"/>
  <c r="G88" i="39"/>
  <c r="U88" i="39" s="1"/>
  <c r="G87" i="39"/>
  <c r="G86" i="39"/>
  <c r="U86" i="39" s="1"/>
  <c r="J85" i="39"/>
  <c r="G85" i="39"/>
  <c r="G91" i="39"/>
  <c r="K92" i="39"/>
  <c r="G92" i="39"/>
  <c r="E33" i="31"/>
  <c r="J92" i="39"/>
  <c r="H92" i="39"/>
  <c r="L92" i="39"/>
  <c r="I92" i="39"/>
  <c r="K91" i="39"/>
  <c r="L91" i="39"/>
  <c r="F28" i="41"/>
  <c r="H28" i="41" s="1"/>
  <c r="H91" i="39"/>
  <c r="G45" i="37" s="1"/>
  <c r="I91" i="39"/>
  <c r="J84" i="39"/>
  <c r="G84" i="39"/>
  <c r="K83" i="39"/>
  <c r="H83" i="39"/>
  <c r="H45" i="37"/>
  <c r="H63" i="7"/>
  <c r="G63" i="7"/>
  <c r="E63" i="7"/>
  <c r="H53" i="7"/>
  <c r="G53" i="7"/>
  <c r="E53" i="7"/>
  <c r="H49" i="7"/>
  <c r="H48" i="7" s="1"/>
  <c r="G49" i="7"/>
  <c r="E49" i="7"/>
  <c r="E48" i="7" s="1"/>
  <c r="H42" i="7"/>
  <c r="G42" i="7"/>
  <c r="E42" i="7"/>
  <c r="G48" i="7"/>
  <c r="C12" i="12"/>
  <c r="E96" i="41"/>
  <c r="G193" i="41"/>
  <c r="F200" i="41"/>
  <c r="H73" i="41"/>
  <c r="H51" i="41"/>
  <c r="O73" i="23"/>
  <c r="O57" i="23"/>
  <c r="K73" i="23"/>
  <c r="Q57" i="23"/>
  <c r="P57" i="23"/>
  <c r="N57" i="23"/>
  <c r="M57" i="23"/>
  <c r="L57" i="23"/>
  <c r="S73" i="23"/>
  <c r="H83" i="37" s="1"/>
  <c r="R73" i="23"/>
  <c r="P73" i="23"/>
  <c r="N73" i="23"/>
  <c r="F146" i="41"/>
  <c r="M73" i="23"/>
  <c r="F66" i="41" s="1"/>
  <c r="L73" i="23"/>
  <c r="G83" i="37" s="1"/>
  <c r="H84" i="37"/>
  <c r="E36" i="29"/>
  <c r="J23" i="43"/>
  <c r="J14" i="43"/>
  <c r="E14" i="43"/>
  <c r="E19" i="43"/>
  <c r="E28" i="43"/>
  <c r="F28" i="43"/>
  <c r="G28" i="43"/>
  <c r="H28" i="43"/>
  <c r="I28" i="43"/>
  <c r="J25" i="43"/>
  <c r="J26" i="43"/>
  <c r="J27" i="43"/>
  <c r="J24" i="43"/>
  <c r="J28" i="43" s="1"/>
  <c r="J18" i="43"/>
  <c r="F19" i="43"/>
  <c r="G19" i="43"/>
  <c r="E42" i="29" s="1"/>
  <c r="H19" i="43"/>
  <c r="I19" i="43"/>
  <c r="E23" i="43"/>
  <c r="J17" i="43"/>
  <c r="J16" i="43"/>
  <c r="J15" i="43"/>
  <c r="J19" i="43" s="1"/>
  <c r="D9" i="43"/>
  <c r="K6" i="43"/>
  <c r="D3" i="43"/>
  <c r="D2" i="43"/>
  <c r="E35" i="29"/>
  <c r="N31" i="15"/>
  <c r="N20" i="15"/>
  <c r="E84" i="41"/>
  <c r="H70" i="37"/>
  <c r="H53" i="39"/>
  <c r="G53" i="39"/>
  <c r="G74" i="39"/>
  <c r="E57" i="36"/>
  <c r="E39" i="29" s="1"/>
  <c r="E61" i="36"/>
  <c r="E166" i="41" s="1"/>
  <c r="H166" i="41" s="1"/>
  <c r="E52" i="36"/>
  <c r="E85" i="41"/>
  <c r="E48" i="36"/>
  <c r="D3" i="31"/>
  <c r="D2" i="31"/>
  <c r="E3" i="28"/>
  <c r="E2" i="28"/>
  <c r="E3" i="25"/>
  <c r="E2" i="25"/>
  <c r="D3" i="41"/>
  <c r="D2" i="41"/>
  <c r="D3" i="34"/>
  <c r="D2" i="34"/>
  <c r="D3" i="29"/>
  <c r="D2" i="29"/>
  <c r="D3" i="21"/>
  <c r="D2" i="21"/>
  <c r="D3" i="20"/>
  <c r="D2" i="20"/>
  <c r="D3" i="23"/>
  <c r="D2" i="23"/>
  <c r="D3" i="39"/>
  <c r="D2" i="39"/>
  <c r="D3" i="17"/>
  <c r="D2" i="17"/>
  <c r="D3" i="15"/>
  <c r="D2" i="15"/>
  <c r="D3" i="13"/>
  <c r="D2" i="13"/>
  <c r="D3" i="12"/>
  <c r="D2" i="12"/>
  <c r="D3" i="42"/>
  <c r="D2" i="42"/>
  <c r="D3" i="14"/>
  <c r="D2" i="14"/>
  <c r="D3" i="9"/>
  <c r="D2" i="9"/>
  <c r="D3" i="36"/>
  <c r="D2" i="36"/>
  <c r="D3" i="7"/>
  <c r="D2" i="7"/>
  <c r="D3" i="3"/>
  <c r="D2" i="3"/>
  <c r="D3" i="1"/>
  <c r="D2" i="1"/>
  <c r="D3" i="37"/>
  <c r="D2" i="37"/>
  <c r="G31" i="15"/>
  <c r="F179" i="41"/>
  <c r="I31" i="15"/>
  <c r="F180" i="41" s="1"/>
  <c r="J31" i="15"/>
  <c r="F181" i="41"/>
  <c r="L31" i="15"/>
  <c r="F182" i="41"/>
  <c r="G176" i="41"/>
  <c r="I25" i="17"/>
  <c r="F184" i="41" s="1"/>
  <c r="I34" i="17"/>
  <c r="I49" i="17"/>
  <c r="I58" i="17"/>
  <c r="G183" i="41"/>
  <c r="F187" i="41"/>
  <c r="G54" i="9"/>
  <c r="G57" i="9"/>
  <c r="G60" i="9"/>
  <c r="G52" i="9" s="1"/>
  <c r="H54" i="9"/>
  <c r="H57" i="9"/>
  <c r="H60" i="9"/>
  <c r="G66" i="9"/>
  <c r="F190" i="41"/>
  <c r="G92" i="9"/>
  <c r="G96" i="12" s="1"/>
  <c r="H95" i="12"/>
  <c r="H92" i="9"/>
  <c r="H96" i="12" s="1"/>
  <c r="G185" i="41"/>
  <c r="F192" i="41"/>
  <c r="H192" i="41" s="1"/>
  <c r="H44" i="14"/>
  <c r="G44" i="14"/>
  <c r="F195" i="41"/>
  <c r="F196" i="41"/>
  <c r="H80" i="14"/>
  <c r="H79" i="14"/>
  <c r="G80" i="14"/>
  <c r="G79" i="14" s="1"/>
  <c r="H67" i="14"/>
  <c r="G67" i="14"/>
  <c r="F199" i="41"/>
  <c r="F203" i="41"/>
  <c r="F202" i="41" s="1"/>
  <c r="G202" i="41"/>
  <c r="F204" i="41"/>
  <c r="G204" i="41"/>
  <c r="H16" i="41"/>
  <c r="E16" i="34" s="1"/>
  <c r="H17" i="41"/>
  <c r="E17" i="34"/>
  <c r="H16" i="7"/>
  <c r="E19" i="41"/>
  <c r="H19" i="41"/>
  <c r="E20" i="41"/>
  <c r="H20" i="41"/>
  <c r="E21" i="41"/>
  <c r="H21" i="41"/>
  <c r="H23" i="41"/>
  <c r="H24" i="41"/>
  <c r="H25" i="41"/>
  <c r="H27" i="41"/>
  <c r="M43" i="37"/>
  <c r="H30" i="41"/>
  <c r="H32" i="41"/>
  <c r="E34" i="41"/>
  <c r="H34" i="41" s="1"/>
  <c r="H69" i="7"/>
  <c r="E35" i="41"/>
  <c r="H35" i="41" s="1"/>
  <c r="H72" i="7"/>
  <c r="E25" i="29" s="1"/>
  <c r="E37" i="41"/>
  <c r="H37" i="41"/>
  <c r="E38" i="41"/>
  <c r="H38" i="41"/>
  <c r="H39" i="41"/>
  <c r="H40" i="41"/>
  <c r="K31" i="15"/>
  <c r="H45" i="41"/>
  <c r="H46" i="41"/>
  <c r="J41" i="39"/>
  <c r="H65" i="37" s="1"/>
  <c r="F44" i="42"/>
  <c r="F48" i="42"/>
  <c r="F54" i="42"/>
  <c r="H25" i="17"/>
  <c r="F55" i="41"/>
  <c r="H55" i="41" s="1"/>
  <c r="H34" i="17"/>
  <c r="F56" i="41" s="1"/>
  <c r="H49" i="17"/>
  <c r="F57" i="41"/>
  <c r="H57" i="41"/>
  <c r="H58" i="17"/>
  <c r="F58" i="41"/>
  <c r="H58" i="41" s="1"/>
  <c r="H59" i="41"/>
  <c r="H60" i="41"/>
  <c r="M28" i="23"/>
  <c r="H63" i="41"/>
  <c r="H65" i="41"/>
  <c r="M95" i="23"/>
  <c r="F70" i="41"/>
  <c r="H70" i="41" s="1"/>
  <c r="H71" i="41"/>
  <c r="H72" i="41"/>
  <c r="E79" i="41"/>
  <c r="H79" i="41"/>
  <c r="E80" i="41"/>
  <c r="H80" i="41" s="1"/>
  <c r="E81" i="41"/>
  <c r="H81" i="41" s="1"/>
  <c r="E82" i="41"/>
  <c r="H82" i="41"/>
  <c r="E83" i="41"/>
  <c r="H83" i="41"/>
  <c r="H84" i="41"/>
  <c r="E86" i="41"/>
  <c r="H86" i="41"/>
  <c r="H80" i="7"/>
  <c r="E87" i="41"/>
  <c r="H87" i="41"/>
  <c r="H96" i="41"/>
  <c r="H97" i="41"/>
  <c r="H98" i="41"/>
  <c r="H22" i="7"/>
  <c r="E100" i="41" s="1"/>
  <c r="E101" i="41"/>
  <c r="H101" i="41" s="1"/>
  <c r="E102" i="41"/>
  <c r="H102" i="41"/>
  <c r="E103" i="41"/>
  <c r="H103" i="41" s="1"/>
  <c r="E104" i="41"/>
  <c r="H104" i="41" s="1"/>
  <c r="E105" i="41"/>
  <c r="H105" i="41" s="1"/>
  <c r="E106" i="41"/>
  <c r="H106" i="41"/>
  <c r="E89" i="36"/>
  <c r="E44" i="29" s="1"/>
  <c r="J44" i="29" s="1"/>
  <c r="H109" i="41"/>
  <c r="H110" i="41"/>
  <c r="H111" i="41"/>
  <c r="E113" i="41"/>
  <c r="H113" i="41"/>
  <c r="E114" i="41"/>
  <c r="H114" i="41" s="1"/>
  <c r="H112" i="41" s="1"/>
  <c r="E115" i="41"/>
  <c r="H115" i="41" s="1"/>
  <c r="H116" i="41"/>
  <c r="H117" i="41"/>
  <c r="H121" i="41"/>
  <c r="H31" i="15"/>
  <c r="F126" i="41"/>
  <c r="H126" i="41" s="1"/>
  <c r="H127" i="41"/>
  <c r="H128" i="41"/>
  <c r="G44" i="42"/>
  <c r="G43" i="42" s="1"/>
  <c r="F130" i="41" s="1"/>
  <c r="G48" i="42"/>
  <c r="G54" i="42"/>
  <c r="H131" i="41"/>
  <c r="H132" i="41"/>
  <c r="G25" i="17"/>
  <c r="F136" i="41"/>
  <c r="H136" i="41" s="1"/>
  <c r="G34" i="17"/>
  <c r="F137" i="41" s="1"/>
  <c r="G49" i="17"/>
  <c r="F138" i="41"/>
  <c r="G58" i="17"/>
  <c r="F139" i="41"/>
  <c r="H139" i="41" s="1"/>
  <c r="H140" i="41"/>
  <c r="H141" i="41"/>
  <c r="N28" i="23"/>
  <c r="F145" i="41"/>
  <c r="H144" i="41"/>
  <c r="H145" i="41"/>
  <c r="H146" i="41"/>
  <c r="N95" i="23"/>
  <c r="H148" i="41"/>
  <c r="H149" i="41"/>
  <c r="E158" i="41"/>
  <c r="H158" i="41"/>
  <c r="E159" i="41"/>
  <c r="H159" i="41" s="1"/>
  <c r="E160" i="41"/>
  <c r="H160" i="41" s="1"/>
  <c r="E161" i="41"/>
  <c r="H161" i="41" s="1"/>
  <c r="E163" i="41"/>
  <c r="H163" i="41" s="1"/>
  <c r="E164" i="41"/>
  <c r="H164" i="41" s="1"/>
  <c r="E165" i="41"/>
  <c r="H165" i="41" s="1"/>
  <c r="E167" i="41"/>
  <c r="H167" i="41"/>
  <c r="E168" i="41"/>
  <c r="H168" i="41" s="1"/>
  <c r="H84" i="7"/>
  <c r="E169" i="41" s="1"/>
  <c r="H169" i="41"/>
  <c r="Q79" i="23"/>
  <c r="P79" i="23"/>
  <c r="O79" i="23"/>
  <c r="N79" i="23"/>
  <c r="M79" i="23"/>
  <c r="L79" i="23"/>
  <c r="E54" i="41"/>
  <c r="E61" i="41"/>
  <c r="E43" i="41"/>
  <c r="E47" i="41"/>
  <c r="E124" i="41"/>
  <c r="E129" i="41"/>
  <c r="E135" i="41"/>
  <c r="E142" i="41"/>
  <c r="I41" i="39"/>
  <c r="I44" i="39"/>
  <c r="H41" i="39"/>
  <c r="H44" i="39" s="1"/>
  <c r="O14" i="21"/>
  <c r="N14" i="21"/>
  <c r="M14" i="21"/>
  <c r="L14" i="21"/>
  <c r="K14" i="21"/>
  <c r="J14" i="21"/>
  <c r="I14" i="21"/>
  <c r="H14" i="21"/>
  <c r="G14" i="21"/>
  <c r="F14" i="21"/>
  <c r="E33" i="42"/>
  <c r="L33" i="42"/>
  <c r="E60" i="42" s="1"/>
  <c r="L60" i="42"/>
  <c r="H48" i="37" s="1"/>
  <c r="E32" i="42"/>
  <c r="L32" i="42" s="1"/>
  <c r="E31" i="42"/>
  <c r="E30" i="42"/>
  <c r="L30" i="42"/>
  <c r="E28" i="42"/>
  <c r="L28" i="42"/>
  <c r="E29" i="42"/>
  <c r="L29" i="42" s="1"/>
  <c r="E56" i="42" s="1"/>
  <c r="H28" i="14"/>
  <c r="E26" i="42"/>
  <c r="L26" i="42"/>
  <c r="E23" i="42"/>
  <c r="L23" i="42"/>
  <c r="E50" i="42" s="1"/>
  <c r="E22" i="42"/>
  <c r="L22" i="42"/>
  <c r="E24" i="42"/>
  <c r="L24" i="42"/>
  <c r="E51" i="42" s="1"/>
  <c r="L51" i="42" s="1"/>
  <c r="E25" i="42"/>
  <c r="E20" i="42"/>
  <c r="L20" i="42" s="1"/>
  <c r="E47" i="42" s="1"/>
  <c r="E18" i="42"/>
  <c r="E17" i="42" s="1"/>
  <c r="E19" i="42"/>
  <c r="L19" i="42" s="1"/>
  <c r="E46" i="42" s="1"/>
  <c r="L46" i="42" s="1"/>
  <c r="H18" i="14"/>
  <c r="G28" i="14"/>
  <c r="G18" i="14"/>
  <c r="L43" i="37"/>
  <c r="C40" i="42"/>
  <c r="C13" i="42"/>
  <c r="L41" i="42"/>
  <c r="L14" i="42"/>
  <c r="E41" i="42" s="1"/>
  <c r="E40" i="42"/>
  <c r="K54" i="42"/>
  <c r="J54" i="42"/>
  <c r="H54" i="42"/>
  <c r="K48" i="42"/>
  <c r="J48" i="42"/>
  <c r="I48" i="42"/>
  <c r="H48" i="42"/>
  <c r="K44" i="42"/>
  <c r="K43" i="42" s="1"/>
  <c r="J44" i="42"/>
  <c r="J43" i="42" s="1"/>
  <c r="I44" i="42"/>
  <c r="H44" i="42"/>
  <c r="J17" i="42"/>
  <c r="J21" i="42"/>
  <c r="J27" i="42"/>
  <c r="K27" i="42"/>
  <c r="H27" i="42"/>
  <c r="H16" i="42" s="1"/>
  <c r="G27" i="42"/>
  <c r="F27" i="42"/>
  <c r="K21" i="42"/>
  <c r="I21" i="42"/>
  <c r="H21" i="42"/>
  <c r="G21" i="42"/>
  <c r="F21" i="42"/>
  <c r="F17" i="42"/>
  <c r="K17" i="42"/>
  <c r="I17" i="42"/>
  <c r="H17" i="42"/>
  <c r="G17" i="42"/>
  <c r="H77" i="9"/>
  <c r="H84" i="9"/>
  <c r="H26" i="9"/>
  <c r="H33" i="9"/>
  <c r="H40" i="9"/>
  <c r="H30" i="9"/>
  <c r="H35" i="14"/>
  <c r="H70" i="14"/>
  <c r="G77" i="9"/>
  <c r="G84" i="9"/>
  <c r="G26" i="9"/>
  <c r="G30" i="9"/>
  <c r="G55" i="37" s="1"/>
  <c r="G33" i="9"/>
  <c r="G40" i="9"/>
  <c r="G35" i="14"/>
  <c r="G70" i="14"/>
  <c r="E18" i="14"/>
  <c r="E22" i="14"/>
  <c r="E28" i="14"/>
  <c r="E35" i="14"/>
  <c r="E44" i="14"/>
  <c r="E43" i="14" s="1"/>
  <c r="E67" i="14"/>
  <c r="E80" i="14"/>
  <c r="E79" i="14"/>
  <c r="E54" i="9"/>
  <c r="E57" i="9"/>
  <c r="E60" i="9"/>
  <c r="E52" i="9" s="1"/>
  <c r="E66" i="9"/>
  <c r="E65" i="9" s="1"/>
  <c r="E92" i="9"/>
  <c r="F96" i="12"/>
  <c r="G95" i="12"/>
  <c r="E77" i="9"/>
  <c r="E84" i="9"/>
  <c r="E17" i="9"/>
  <c r="E16" i="9" s="1"/>
  <c r="E26" i="9"/>
  <c r="E30" i="9"/>
  <c r="E33" i="9"/>
  <c r="E40" i="9"/>
  <c r="E14" i="42"/>
  <c r="D9" i="42"/>
  <c r="P6" i="42"/>
  <c r="R95" i="23"/>
  <c r="H86" i="37" s="1"/>
  <c r="S95" i="23"/>
  <c r="H85" i="37" s="1"/>
  <c r="R28" i="23"/>
  <c r="H80" i="37"/>
  <c r="S28" i="23"/>
  <c r="H76" i="7"/>
  <c r="H87" i="7"/>
  <c r="G69" i="7"/>
  <c r="G72" i="7"/>
  <c r="G76" i="7"/>
  <c r="G80" i="7"/>
  <c r="G84" i="7"/>
  <c r="G87" i="7"/>
  <c r="E69" i="7"/>
  <c r="E72" i="7"/>
  <c r="E68" i="7" s="1"/>
  <c r="E76" i="7"/>
  <c r="E84" i="7"/>
  <c r="E80" i="7"/>
  <c r="E87" i="7"/>
  <c r="H74" i="39"/>
  <c r="H77" i="37"/>
  <c r="D9" i="41"/>
  <c r="H6" i="41"/>
  <c r="K95" i="23"/>
  <c r="P28" i="23"/>
  <c r="O28" i="23"/>
  <c r="K28" i="23"/>
  <c r="K41" i="39"/>
  <c r="L41" i="39"/>
  <c r="G41" i="39"/>
  <c r="G49" i="39"/>
  <c r="J43" i="39"/>
  <c r="H68" i="37" s="1"/>
  <c r="G43" i="39"/>
  <c r="G68" i="37"/>
  <c r="N41" i="39"/>
  <c r="E235" i="41" s="1"/>
  <c r="M41" i="39"/>
  <c r="M49" i="39" s="1"/>
  <c r="K16" i="39"/>
  <c r="H16" i="39"/>
  <c r="H27" i="7"/>
  <c r="H36" i="7"/>
  <c r="H17" i="12"/>
  <c r="H29" i="12"/>
  <c r="H36" i="12"/>
  <c r="H45" i="12"/>
  <c r="H63" i="12" s="1"/>
  <c r="H54" i="12"/>
  <c r="H74" i="12"/>
  <c r="H80" i="12"/>
  <c r="H86" i="12"/>
  <c r="G16" i="7"/>
  <c r="G22" i="7"/>
  <c r="G27" i="7"/>
  <c r="G66" i="7" s="1"/>
  <c r="G36" i="7"/>
  <c r="G17" i="12"/>
  <c r="G29" i="12"/>
  <c r="G36" i="12"/>
  <c r="G45" i="12"/>
  <c r="G54" i="12"/>
  <c r="G74" i="12"/>
  <c r="G80" i="12"/>
  <c r="G73" i="12" s="1"/>
  <c r="G86" i="12"/>
  <c r="E16" i="7"/>
  <c r="E22" i="7"/>
  <c r="E27" i="7"/>
  <c r="E36" i="7"/>
  <c r="F17" i="12"/>
  <c r="F29" i="12"/>
  <c r="F36" i="12"/>
  <c r="F45" i="12"/>
  <c r="F54" i="12"/>
  <c r="F74" i="12"/>
  <c r="F80" i="12"/>
  <c r="F86" i="12"/>
  <c r="H101" i="39"/>
  <c r="F94" i="41"/>
  <c r="F99" i="41"/>
  <c r="F122" i="41" s="1"/>
  <c r="F112" i="41"/>
  <c r="F157" i="41"/>
  <c r="F18" i="41"/>
  <c r="F33" i="41"/>
  <c r="F78" i="41"/>
  <c r="E175" i="41"/>
  <c r="G54" i="41"/>
  <c r="G61" i="41"/>
  <c r="G74" i="41" s="1"/>
  <c r="G76" i="41" s="1"/>
  <c r="G43" i="41"/>
  <c r="G52" i="41" s="1"/>
  <c r="G47" i="41"/>
  <c r="G18" i="41"/>
  <c r="G26" i="41"/>
  <c r="G33" i="41"/>
  <c r="G78" i="41"/>
  <c r="G94" i="41"/>
  <c r="G99" i="41"/>
  <c r="G122" i="41" s="1"/>
  <c r="G152" i="41" s="1"/>
  <c r="G171" i="41" s="1"/>
  <c r="G112" i="41"/>
  <c r="G118" i="41"/>
  <c r="G124" i="41"/>
  <c r="G129" i="41"/>
  <c r="G135" i="41"/>
  <c r="G142" i="41"/>
  <c r="G157" i="41"/>
  <c r="P95" i="23"/>
  <c r="O95" i="23"/>
  <c r="L95" i="23"/>
  <c r="G85" i="37" s="1"/>
  <c r="G19" i="39"/>
  <c r="J17" i="39"/>
  <c r="G17" i="39"/>
  <c r="G101" i="39"/>
  <c r="H95" i="39"/>
  <c r="G95" i="39"/>
  <c r="N91" i="39"/>
  <c r="E237" i="41" s="1"/>
  <c r="E238" i="41" s="1"/>
  <c r="M91" i="39"/>
  <c r="N84" i="39"/>
  <c r="M84" i="39"/>
  <c r="J74" i="39"/>
  <c r="I74" i="39"/>
  <c r="I79" i="39" s="1"/>
  <c r="J53" i="39"/>
  <c r="I53" i="39"/>
  <c r="N17" i="39"/>
  <c r="M17" i="39"/>
  <c r="D9" i="39"/>
  <c r="Q6" i="39"/>
  <c r="J39" i="25"/>
  <c r="J40" i="25"/>
  <c r="J41" i="25"/>
  <c r="J42" i="25"/>
  <c r="J43" i="25"/>
  <c r="J44" i="25"/>
  <c r="F53" i="25"/>
  <c r="H35" i="37" s="1"/>
  <c r="J51" i="17"/>
  <c r="J52" i="17"/>
  <c r="J53" i="17"/>
  <c r="J54" i="17"/>
  <c r="J55" i="17"/>
  <c r="J56" i="17"/>
  <c r="J57" i="17"/>
  <c r="J27" i="17"/>
  <c r="J28" i="17"/>
  <c r="J29" i="17"/>
  <c r="J30" i="17"/>
  <c r="J31" i="17"/>
  <c r="J32" i="17"/>
  <c r="J33" i="17"/>
  <c r="J42" i="17"/>
  <c r="J43" i="17"/>
  <c r="J44" i="17"/>
  <c r="J45" i="17"/>
  <c r="J46" i="17"/>
  <c r="J47" i="17"/>
  <c r="J48" i="17"/>
  <c r="J18" i="17"/>
  <c r="J19" i="17"/>
  <c r="J20" i="17"/>
  <c r="J21" i="17"/>
  <c r="J22" i="17"/>
  <c r="J23" i="17"/>
  <c r="J24" i="17"/>
  <c r="M18" i="15"/>
  <c r="E29" i="15"/>
  <c r="M29" i="15"/>
  <c r="M19" i="15"/>
  <c r="E30" i="15"/>
  <c r="O41" i="3"/>
  <c r="Q17" i="23"/>
  <c r="P17" i="23"/>
  <c r="O17" i="23"/>
  <c r="N17" i="23"/>
  <c r="L17" i="23"/>
  <c r="I46" i="13"/>
  <c r="F28" i="15"/>
  <c r="M28" i="15" s="1"/>
  <c r="F31" i="15"/>
  <c r="E40" i="29" s="1"/>
  <c r="E88" i="36"/>
  <c r="I41" i="3"/>
  <c r="I15" i="3"/>
  <c r="O15" i="3"/>
  <c r="K46" i="13"/>
  <c r="G46" i="13"/>
  <c r="H46" i="13"/>
  <c r="J46" i="13"/>
  <c r="L46" i="13"/>
  <c r="M46" i="13"/>
  <c r="E32" i="36"/>
  <c r="E31" i="36" s="1"/>
  <c r="E18" i="31" s="1"/>
  <c r="E36" i="36"/>
  <c r="I20" i="15"/>
  <c r="G57" i="37" s="1"/>
  <c r="L52" i="37"/>
  <c r="M22" i="15"/>
  <c r="E33" i="15" s="1"/>
  <c r="M33" i="15" s="1"/>
  <c r="M17" i="15"/>
  <c r="E28" i="15"/>
  <c r="M16" i="15"/>
  <c r="E27" i="15" s="1"/>
  <c r="M27" i="15" s="1"/>
  <c r="M15" i="15"/>
  <c r="G22" i="9" s="1"/>
  <c r="G17" i="9" s="1"/>
  <c r="H32" i="37"/>
  <c r="M49" i="37"/>
  <c r="L49" i="37"/>
  <c r="H31" i="37"/>
  <c r="M27" i="37"/>
  <c r="L27" i="37"/>
  <c r="N27" i="37" s="1"/>
  <c r="E16" i="36"/>
  <c r="E20" i="36"/>
  <c r="E25" i="36"/>
  <c r="E40" i="36"/>
  <c r="E21" i="31"/>
  <c r="F16" i="36"/>
  <c r="F20" i="36"/>
  <c r="F25" i="36"/>
  <c r="F32" i="36"/>
  <c r="F36" i="36"/>
  <c r="F40" i="36"/>
  <c r="E41" i="29"/>
  <c r="E38" i="29"/>
  <c r="E22" i="29"/>
  <c r="E23" i="29"/>
  <c r="E72" i="36"/>
  <c r="D9" i="37"/>
  <c r="H6" i="37"/>
  <c r="E67" i="36"/>
  <c r="E46" i="36"/>
  <c r="G14" i="36"/>
  <c r="D9" i="36"/>
  <c r="I6" i="36"/>
  <c r="D9" i="34"/>
  <c r="E6" i="34"/>
  <c r="D9" i="31"/>
  <c r="F6" i="31"/>
  <c r="E18" i="29"/>
  <c r="D9" i="29"/>
  <c r="G6" i="29"/>
  <c r="G33" i="28"/>
  <c r="F33" i="28"/>
  <c r="G16" i="28"/>
  <c r="E9" i="28"/>
  <c r="H6" i="28"/>
  <c r="D9" i="27"/>
  <c r="H6" i="27"/>
  <c r="E45" i="25"/>
  <c r="F30" i="25"/>
  <c r="I45" i="25"/>
  <c r="H45" i="25"/>
  <c r="G45" i="25"/>
  <c r="F45" i="25"/>
  <c r="C28" i="25"/>
  <c r="E9" i="25"/>
  <c r="J6" i="25"/>
  <c r="D9" i="23"/>
  <c r="S6" i="23"/>
  <c r="D9" i="21"/>
  <c r="O6" i="21"/>
  <c r="F15" i="20"/>
  <c r="D9" i="20"/>
  <c r="I6" i="20"/>
  <c r="L58" i="17"/>
  <c r="F58" i="17"/>
  <c r="G63" i="37"/>
  <c r="L49" i="17"/>
  <c r="F49" i="17"/>
  <c r="G62" i="37"/>
  <c r="L40" i="17"/>
  <c r="J40" i="17"/>
  <c r="F40" i="17"/>
  <c r="L34" i="17"/>
  <c r="F34" i="17"/>
  <c r="G61" i="37" s="1"/>
  <c r="L25" i="17"/>
  <c r="F25" i="17"/>
  <c r="G60" i="37"/>
  <c r="L16" i="17"/>
  <c r="J16" i="17"/>
  <c r="F16" i="17"/>
  <c r="D9" i="17"/>
  <c r="M6" i="17"/>
  <c r="L20" i="15"/>
  <c r="K20" i="15"/>
  <c r="J20" i="15"/>
  <c r="H20" i="15"/>
  <c r="G20" i="15"/>
  <c r="F20" i="15"/>
  <c r="E20" i="15"/>
  <c r="M25" i="15"/>
  <c r="E25" i="15"/>
  <c r="D25" i="15"/>
  <c r="D14" i="15"/>
  <c r="M14" i="15"/>
  <c r="E14" i="15"/>
  <c r="D9" i="15"/>
  <c r="O6" i="15"/>
  <c r="D9" i="14"/>
  <c r="H6" i="14"/>
  <c r="R46" i="13"/>
  <c r="Q46" i="13"/>
  <c r="P46" i="13"/>
  <c r="O46" i="13"/>
  <c r="N46" i="13"/>
  <c r="Q15" i="13"/>
  <c r="P15" i="13"/>
  <c r="O15" i="13"/>
  <c r="N15" i="13"/>
  <c r="L15" i="13"/>
  <c r="K15" i="13"/>
  <c r="J15" i="13"/>
  <c r="I15" i="13"/>
  <c r="H15" i="13"/>
  <c r="D9" i="13"/>
  <c r="R6" i="13"/>
  <c r="D9" i="12"/>
  <c r="H6" i="12"/>
  <c r="D9" i="9"/>
  <c r="H6" i="9"/>
  <c r="H14" i="7"/>
  <c r="G14" i="7"/>
  <c r="E14" i="7"/>
  <c r="D9" i="7"/>
  <c r="H6" i="7"/>
  <c r="P6" i="3"/>
  <c r="D9" i="3"/>
  <c r="H6" i="1"/>
  <c r="D9" i="1"/>
  <c r="I15" i="1"/>
  <c r="I13" i="1" s="1"/>
  <c r="I27" i="42"/>
  <c r="I54" i="42"/>
  <c r="K19" i="39"/>
  <c r="K44" i="39" s="1"/>
  <c r="H41" i="14" s="1"/>
  <c r="G41" i="14"/>
  <c r="E21" i="45"/>
  <c r="E22" i="45"/>
  <c r="G54" i="37"/>
  <c r="L47" i="37" s="1"/>
  <c r="H58" i="37"/>
  <c r="F147" i="41"/>
  <c r="H62" i="41"/>
  <c r="F64" i="41"/>
  <c r="E33" i="29"/>
  <c r="M20" i="15"/>
  <c r="F44" i="41"/>
  <c r="M67" i="37"/>
  <c r="H79" i="37"/>
  <c r="I16" i="42"/>
  <c r="G53" i="37"/>
  <c r="L46" i="37"/>
  <c r="F43" i="42"/>
  <c r="F49" i="41" s="1"/>
  <c r="H49" i="41" s="1"/>
  <c r="E26" i="29"/>
  <c r="J79" i="39"/>
  <c r="E236" i="41"/>
  <c r="N49" i="39"/>
  <c r="G63" i="12"/>
  <c r="G44" i="37"/>
  <c r="E57" i="42"/>
  <c r="L57" i="42" s="1"/>
  <c r="H44" i="37" s="1"/>
  <c r="E27" i="42"/>
  <c r="L48" i="37"/>
  <c r="E26" i="15"/>
  <c r="M26" i="15" s="1"/>
  <c r="G42" i="37"/>
  <c r="E53" i="42"/>
  <c r="L53" i="42"/>
  <c r="H42" i="37"/>
  <c r="E19" i="36"/>
  <c r="E17" i="31" s="1"/>
  <c r="H68" i="7"/>
  <c r="G56" i="37"/>
  <c r="L51" i="37" s="1"/>
  <c r="N51" i="37" s="1"/>
  <c r="F191" i="41"/>
  <c r="E24" i="29"/>
  <c r="E30" i="29"/>
  <c r="H95" i="37"/>
  <c r="I28" i="31"/>
  <c r="E26" i="41"/>
  <c r="E55" i="42"/>
  <c r="L55" i="42" s="1"/>
  <c r="L27" i="42"/>
  <c r="G43" i="37"/>
  <c r="H65" i="14"/>
  <c r="F31" i="36"/>
  <c r="F30" i="36"/>
  <c r="E65" i="14"/>
  <c r="F16" i="42"/>
  <c r="H43" i="42"/>
  <c r="H130" i="41"/>
  <c r="H129" i="41"/>
  <c r="E46" i="34" s="1"/>
  <c r="F194" i="41"/>
  <c r="J45" i="25"/>
  <c r="H34" i="37" s="1"/>
  <c r="J58" i="17"/>
  <c r="H63" i="37" s="1"/>
  <c r="F63" i="12"/>
  <c r="H73" i="12"/>
  <c r="H89" i="12"/>
  <c r="E17" i="14"/>
  <c r="E16" i="14" s="1"/>
  <c r="H52" i="9"/>
  <c r="H50" i="9" s="1"/>
  <c r="H56" i="37"/>
  <c r="M51" i="37" s="1"/>
  <c r="F183" i="41"/>
  <c r="H183" i="41" s="1"/>
  <c r="F73" i="12"/>
  <c r="G68" i="7"/>
  <c r="G16" i="42"/>
  <c r="J16" i="42"/>
  <c r="E36" i="41"/>
  <c r="H36" i="41"/>
  <c r="H33" i="41"/>
  <c r="E20" i="34" s="1"/>
  <c r="E119" i="41"/>
  <c r="E108" i="41"/>
  <c r="H108" i="41" s="1"/>
  <c r="G69" i="37"/>
  <c r="L64" i="37" s="1"/>
  <c r="N64" i="37" s="1"/>
  <c r="H69" i="37"/>
  <c r="M64" i="37" s="1"/>
  <c r="E29" i="29"/>
  <c r="G65" i="37"/>
  <c r="G66" i="37"/>
  <c r="L60" i="37" s="1"/>
  <c r="E21" i="29"/>
  <c r="E112" i="41"/>
  <c r="Q28" i="23"/>
  <c r="H87" i="37" s="1"/>
  <c r="J49" i="17"/>
  <c r="H62" i="37" s="1"/>
  <c r="G16" i="9"/>
  <c r="J34" i="17"/>
  <c r="H61" i="37" s="1"/>
  <c r="Q95" i="23"/>
  <c r="H90" i="37"/>
  <c r="E34" i="29"/>
  <c r="H95" i="41"/>
  <c r="H94" i="41" s="1"/>
  <c r="E39" i="34" s="1"/>
  <c r="E94" i="41"/>
  <c r="L56" i="42"/>
  <c r="L54" i="42" s="1"/>
  <c r="H43" i="37" s="1"/>
  <c r="G40" i="37"/>
  <c r="H143" i="41"/>
  <c r="H66" i="41"/>
  <c r="H61" i="41" s="1"/>
  <c r="E28" i="34" s="1"/>
  <c r="F61" i="41"/>
  <c r="E49" i="42"/>
  <c r="G47" i="37"/>
  <c r="E59" i="42"/>
  <c r="L59" i="42" s="1"/>
  <c r="H47" i="37"/>
  <c r="H138" i="41"/>
  <c r="H85" i="41"/>
  <c r="H78" i="41"/>
  <c r="E33" i="34" s="1"/>
  <c r="E133" i="41"/>
  <c r="G48" i="37"/>
  <c r="E74" i="41"/>
  <c r="F125" i="41"/>
  <c r="H125" i="41" s="1"/>
  <c r="H124" i="41"/>
  <c r="E45" i="34" s="1"/>
  <c r="E47" i="34" s="1"/>
  <c r="F198" i="41"/>
  <c r="F176" i="41"/>
  <c r="H176" i="41"/>
  <c r="M30" i="15"/>
  <c r="H55" i="37" s="1"/>
  <c r="M48" i="37" s="1"/>
  <c r="N48" i="37" s="1"/>
  <c r="H100" i="41"/>
  <c r="E52" i="41"/>
  <c r="G150" i="41"/>
  <c r="N49" i="37"/>
  <c r="N43" i="37"/>
  <c r="G133" i="41"/>
  <c r="G41" i="41"/>
  <c r="E150" i="41"/>
  <c r="G175" i="41"/>
  <c r="H204" i="41"/>
  <c r="E41" i="34"/>
  <c r="H202" i="41"/>
  <c r="H22" i="9"/>
  <c r="H17" i="9"/>
  <c r="H16" i="9" s="1"/>
  <c r="H96" i="9" s="1"/>
  <c r="H66" i="37"/>
  <c r="M60" i="37" s="1"/>
  <c r="E33" i="41"/>
  <c r="H91" i="7"/>
  <c r="H93" i="7" s="1"/>
  <c r="H66" i="7"/>
  <c r="E66" i="7"/>
  <c r="G91" i="7"/>
  <c r="G93" i="7" s="1"/>
  <c r="E31" i="15"/>
  <c r="F129" i="41"/>
  <c r="F188" i="41"/>
  <c r="E30" i="36"/>
  <c r="L26" i="37"/>
  <c r="E54" i="42"/>
  <c r="I43" i="42"/>
  <c r="H119" i="41"/>
  <c r="H118" i="41" s="1"/>
  <c r="E42" i="34" s="1"/>
  <c r="E118" i="41"/>
  <c r="M74" i="37"/>
  <c r="N74" i="37" s="1"/>
  <c r="L49" i="42"/>
  <c r="L47" i="42"/>
  <c r="H133" i="41"/>
  <c r="G50" i="37"/>
  <c r="L24" i="37" s="1"/>
  <c r="N24" i="37" s="1"/>
  <c r="H50" i="37"/>
  <c r="M24" i="37" s="1"/>
  <c r="E50" i="37"/>
  <c r="H40" i="37"/>
  <c r="G73" i="9"/>
  <c r="G65" i="9"/>
  <c r="F189" i="41" s="1"/>
  <c r="F185" i="41" s="1"/>
  <c r="E37" i="29"/>
  <c r="E32" i="29" s="1"/>
  <c r="G50" i="9"/>
  <c r="G96" i="9"/>
  <c r="D15" i="4" a="1"/>
  <c r="D16" i="4" a="1"/>
  <c r="D16" i="4" l="1"/>
  <c r="D15" i="4"/>
  <c r="E23" i="31"/>
  <c r="H96" i="37"/>
  <c r="N60" i="37"/>
  <c r="H56" i="41"/>
  <c r="F54" i="41"/>
  <c r="F74" i="41" s="1"/>
  <c r="H185" i="41"/>
  <c r="J17" i="3"/>
  <c r="E94" i="14"/>
  <c r="E38" i="37"/>
  <c r="H137" i="41"/>
  <c r="F135" i="41"/>
  <c r="E16" i="31"/>
  <c r="G89" i="41"/>
  <c r="G173" i="41" s="1"/>
  <c r="G154" i="41"/>
  <c r="H16" i="12"/>
  <c r="H42" i="12" s="1"/>
  <c r="H93" i="12" s="1"/>
  <c r="H96" i="7"/>
  <c r="H101" i="7" s="1"/>
  <c r="G16" i="12"/>
  <c r="G42" i="12" s="1"/>
  <c r="G96" i="7"/>
  <c r="G101" i="7" s="1"/>
  <c r="H54" i="37"/>
  <c r="M47" i="37" s="1"/>
  <c r="N47" i="37" s="1"/>
  <c r="M31" i="15"/>
  <c r="L50" i="42"/>
  <c r="H24" i="14" s="1"/>
  <c r="H22" i="14" s="1"/>
  <c r="F19" i="36"/>
  <c r="F43" i="36" s="1"/>
  <c r="G44" i="39"/>
  <c r="H135" i="41"/>
  <c r="F89" i="12"/>
  <c r="C65" i="42"/>
  <c r="I63" i="42"/>
  <c r="E16" i="45" s="1"/>
  <c r="K63" i="42"/>
  <c r="L63" i="42" s="1"/>
  <c r="N59" i="44"/>
  <c r="H44" i="41"/>
  <c r="H43" i="41" s="1"/>
  <c r="F43" i="41"/>
  <c r="L19" i="39"/>
  <c r="G59" i="14"/>
  <c r="J91" i="39"/>
  <c r="U85" i="39"/>
  <c r="G89" i="12"/>
  <c r="R63" i="44"/>
  <c r="L36" i="42"/>
  <c r="E43" i="36"/>
  <c r="H29" i="37" s="1"/>
  <c r="M26" i="37" s="1"/>
  <c r="N26" i="37" s="1"/>
  <c r="H52" i="37"/>
  <c r="M44" i="37" s="1"/>
  <c r="N44" i="37" s="1"/>
  <c r="J25" i="17"/>
  <c r="H60" i="37" s="1"/>
  <c r="E50" i="9"/>
  <c r="E96" i="9" s="1"/>
  <c r="E37" i="37" s="1"/>
  <c r="H54" i="41"/>
  <c r="E162" i="41"/>
  <c r="H57" i="37"/>
  <c r="M52" i="37" s="1"/>
  <c r="N52" i="37" s="1"/>
  <c r="N67" i="37"/>
  <c r="E28" i="29"/>
  <c r="E20" i="29" s="1"/>
  <c r="E46" i="29" s="1"/>
  <c r="E22" i="41"/>
  <c r="E47" i="36"/>
  <c r="H30" i="37" s="1"/>
  <c r="E91" i="7"/>
  <c r="E93" i="7" s="1"/>
  <c r="L18" i="42"/>
  <c r="N48" i="21"/>
  <c r="H53" i="37"/>
  <c r="M46" i="37" s="1"/>
  <c r="N46" i="37" s="1"/>
  <c r="F124" i="41"/>
  <c r="F133" i="41" s="1"/>
  <c r="E78" i="41"/>
  <c r="F197" i="41"/>
  <c r="F193" i="41" s="1"/>
  <c r="G65" i="14"/>
  <c r="F17" i="14"/>
  <c r="F16" i="14" s="1"/>
  <c r="R60" i="44"/>
  <c r="F31" i="25"/>
  <c r="H33" i="37" s="1"/>
  <c r="M28" i="37" s="1"/>
  <c r="N28" i="37" s="1"/>
  <c r="G24" i="14"/>
  <c r="G22" i="14" s="1"/>
  <c r="K62" i="44"/>
  <c r="Q73" i="23"/>
  <c r="H89" i="37" s="1"/>
  <c r="H48" i="21"/>
  <c r="H147" i="41"/>
  <c r="H142" i="41" s="1"/>
  <c r="E50" i="34" s="1"/>
  <c r="F142" i="41"/>
  <c r="L25" i="42"/>
  <c r="E52" i="42" s="1"/>
  <c r="L52" i="42" s="1"/>
  <c r="L48" i="42" s="1"/>
  <c r="E21" i="42"/>
  <c r="E16" i="42" s="1"/>
  <c r="E20" i="45"/>
  <c r="F48" i="41"/>
  <c r="H76" i="37"/>
  <c r="J49" i="39"/>
  <c r="E107" i="41"/>
  <c r="H107" i="41" s="1"/>
  <c r="H99" i="41" s="1"/>
  <c r="E56" i="36"/>
  <c r="K37" i="42"/>
  <c r="L37" i="42" s="1"/>
  <c r="I37" i="42"/>
  <c r="C38" i="42"/>
  <c r="F152" i="41" l="1"/>
  <c r="F171" i="41" s="1"/>
  <c r="H122" i="41"/>
  <c r="E40" i="34"/>
  <c r="E43" i="34" s="1"/>
  <c r="H193" i="41"/>
  <c r="H175" i="41" s="1"/>
  <c r="F175" i="41"/>
  <c r="H162" i="41"/>
  <c r="H157" i="41" s="1"/>
  <c r="E55" i="34" s="1"/>
  <c r="E157" i="41"/>
  <c r="N66" i="44"/>
  <c r="H75" i="37" s="1"/>
  <c r="R59" i="44"/>
  <c r="H74" i="37" s="1"/>
  <c r="H32" i="14"/>
  <c r="H28" i="37"/>
  <c r="M23" i="37" s="1"/>
  <c r="E226" i="41"/>
  <c r="E45" i="42"/>
  <c r="L17" i="42"/>
  <c r="H74" i="41"/>
  <c r="E27" i="34"/>
  <c r="E29" i="34" s="1"/>
  <c r="E48" i="42"/>
  <c r="E38" i="31"/>
  <c r="F23" i="31"/>
  <c r="F38" i="37"/>
  <c r="F94" i="14"/>
  <c r="F37" i="37" s="1"/>
  <c r="E96" i="7"/>
  <c r="E101" i="7" s="1"/>
  <c r="E28" i="37" s="1"/>
  <c r="F16" i="12"/>
  <c r="F42" i="12" s="1"/>
  <c r="F93" i="12" s="1"/>
  <c r="H27" i="37"/>
  <c r="F29" i="41"/>
  <c r="H17" i="14"/>
  <c r="H16" i="14" s="1"/>
  <c r="H41" i="37"/>
  <c r="F150" i="41"/>
  <c r="K65" i="42"/>
  <c r="I65" i="42"/>
  <c r="H48" i="41"/>
  <c r="H47" i="41" s="1"/>
  <c r="F47" i="41"/>
  <c r="L44" i="39"/>
  <c r="J19" i="39"/>
  <c r="E99" i="41"/>
  <c r="E122" i="41" s="1"/>
  <c r="E152" i="41" s="1"/>
  <c r="E171" i="41" s="1"/>
  <c r="K31" i="42"/>
  <c r="G32" i="14"/>
  <c r="F16" i="31"/>
  <c r="H22" i="41"/>
  <c r="H18" i="41" s="1"/>
  <c r="E18" i="41"/>
  <c r="E41" i="41" s="1"/>
  <c r="E76" i="41" s="1"/>
  <c r="L21" i="42"/>
  <c r="F52" i="41"/>
  <c r="H150" i="41"/>
  <c r="E49" i="34"/>
  <c r="E51" i="34" s="1"/>
  <c r="G93" i="12"/>
  <c r="G92" i="37"/>
  <c r="H92" i="37"/>
  <c r="H93" i="37"/>
  <c r="C13" i="29"/>
  <c r="C12" i="43"/>
  <c r="G93" i="37"/>
  <c r="G67" i="37"/>
  <c r="G58" i="14"/>
  <c r="G43" i="14" s="1"/>
  <c r="I38" i="42"/>
  <c r="L38" i="42" s="1"/>
  <c r="K38" i="42"/>
  <c r="G41" i="37"/>
  <c r="E23" i="34"/>
  <c r="J29" i="3"/>
  <c r="J34" i="3"/>
  <c r="J36" i="3"/>
  <c r="J25" i="3"/>
  <c r="J27" i="3"/>
  <c r="J20" i="3"/>
  <c r="J22" i="3"/>
  <c r="J21" i="3"/>
  <c r="J24" i="3"/>
  <c r="J30" i="3"/>
  <c r="J31" i="3"/>
  <c r="J23" i="3"/>
  <c r="J32" i="3"/>
  <c r="J18" i="3"/>
  <c r="J19" i="3"/>
  <c r="J33" i="3"/>
  <c r="J28" i="3"/>
  <c r="J26" i="3"/>
  <c r="J35" i="3"/>
  <c r="H71" i="37"/>
  <c r="C12" i="41"/>
  <c r="G71" i="37"/>
  <c r="C12" i="34"/>
  <c r="L31" i="42" l="1"/>
  <c r="E58" i="42" s="1"/>
  <c r="L58" i="42" s="1"/>
  <c r="K16" i="42"/>
  <c r="L65" i="42"/>
  <c r="E18" i="45"/>
  <c r="L16" i="42"/>
  <c r="G39" i="37"/>
  <c r="E242" i="41"/>
  <c r="E24" i="34"/>
  <c r="E25" i="34"/>
  <c r="G28" i="37"/>
  <c r="L23" i="37" s="1"/>
  <c r="N23" i="37" s="1"/>
  <c r="E44" i="42"/>
  <c r="E43" i="42" s="1"/>
  <c r="L45" i="42"/>
  <c r="L44" i="42" s="1"/>
  <c r="H52" i="41"/>
  <c r="E230" i="41"/>
  <c r="E61" i="34"/>
  <c r="G17" i="14"/>
  <c r="G16" i="14" s="1"/>
  <c r="E89" i="41"/>
  <c r="E173" i="41" s="1"/>
  <c r="E154" i="41"/>
  <c r="H59" i="14"/>
  <c r="J44" i="39"/>
  <c r="F25" i="31"/>
  <c r="F30" i="31"/>
  <c r="F31" i="31"/>
  <c r="F19" i="31"/>
  <c r="F29" i="31"/>
  <c r="F38" i="31"/>
  <c r="F28" i="31"/>
  <c r="F27" i="31"/>
  <c r="F36" i="31"/>
  <c r="F35" i="31"/>
  <c r="F34" i="31"/>
  <c r="F21" i="31"/>
  <c r="F18" i="31"/>
  <c r="F33" i="31"/>
  <c r="F26" i="31"/>
  <c r="F17" i="31"/>
  <c r="F24" i="31"/>
  <c r="E53" i="34"/>
  <c r="E57" i="34" s="1"/>
  <c r="E18" i="34"/>
  <c r="H29" i="41"/>
  <c r="H26" i="41" s="1"/>
  <c r="F26" i="41"/>
  <c r="F41" i="41" s="1"/>
  <c r="F76" i="41" s="1"/>
  <c r="H46" i="37"/>
  <c r="H152" i="41"/>
  <c r="H171" i="41" s="1"/>
  <c r="L43" i="42" l="1"/>
  <c r="H39" i="37"/>
  <c r="E241" i="41"/>
  <c r="E246" i="41" s="1"/>
  <c r="E247" i="41" s="1"/>
  <c r="E19" i="34"/>
  <c r="E21" i="34"/>
  <c r="E31" i="34" s="1"/>
  <c r="E35" i="34" s="1"/>
  <c r="E59" i="34" s="1"/>
  <c r="E63" i="34" s="1"/>
  <c r="H67" i="37"/>
  <c r="H58" i="14"/>
  <c r="H43" i="14" s="1"/>
  <c r="E225" i="41"/>
  <c r="E227" i="41" s="1"/>
  <c r="H98" i="37"/>
  <c r="M92" i="37" s="1"/>
  <c r="N92" i="37" s="1"/>
  <c r="F89" i="41"/>
  <c r="F173" i="41" s="1"/>
  <c r="F154" i="41"/>
  <c r="H41" i="41"/>
  <c r="H76" i="41" s="1"/>
  <c r="G38" i="37"/>
  <c r="G94" i="14"/>
  <c r="G37" i="37" s="1"/>
  <c r="L22" i="37" s="1"/>
  <c r="G46" i="37"/>
  <c r="H89" i="41" l="1"/>
  <c r="H173" i="41" s="1"/>
  <c r="E229" i="41" s="1"/>
  <c r="E231" i="41" s="1"/>
  <c r="H154" i="41"/>
  <c r="O74" i="42"/>
  <c r="G102" i="14"/>
  <c r="H94" i="14"/>
  <c r="H37" i="37" s="1"/>
  <c r="M22" i="37" s="1"/>
  <c r="H38" i="37"/>
  <c r="H102" i="14" l="1"/>
  <c r="P74" i="42"/>
  <c r="N22" i="37"/>
</calcChain>
</file>

<file path=xl/sharedStrings.xml><?xml version="1.0" encoding="utf-8"?>
<sst xmlns="http://schemas.openxmlformats.org/spreadsheetml/2006/main" count="2734" uniqueCount="1448">
  <si>
    <t>Área de la Presidenta: Igualdad y Diversidad, Hacienda y Proyectos Estratégicos</t>
  </si>
  <si>
    <t>Dirección Insular de Hacienda</t>
  </si>
  <si>
    <t xml:space="preserve"> PRESUPUESTO GENERAL</t>
  </si>
  <si>
    <t xml:space="preserve"> PROGRAMA DE ACTUACIÓN, INVERSIONES Y FINANCIACIÓN (PAIF)</t>
  </si>
  <si>
    <t xml:space="preserve"> DATOS GENERALES E ÍNDICE</t>
  </si>
  <si>
    <t xml:space="preserve">  Entidad:</t>
  </si>
  <si>
    <t>(MERCATENERIFE) Mercados Centrales de Abastecimiento de Tenerife, S.A.</t>
  </si>
  <si>
    <t>EE_DD</t>
  </si>
  <si>
    <t>Clasificación_IGAE</t>
  </si>
  <si>
    <t>Participación ECIT</t>
  </si>
  <si>
    <t>Columna1</t>
  </si>
  <si>
    <t>Cuentas Anuales</t>
  </si>
  <si>
    <t xml:space="preserve">  Modelo CCAA:</t>
  </si>
  <si>
    <t>Abreviado / PyMES</t>
  </si>
  <si>
    <t>(TEA) Tenerife Espacio de las Artes, EPEL</t>
  </si>
  <si>
    <t>Administración Pública</t>
  </si>
  <si>
    <t>Íntegra</t>
  </si>
  <si>
    <t>5__</t>
  </si>
  <si>
    <t>Normal</t>
  </si>
  <si>
    <t xml:space="preserve"> Clasificación IGAE:</t>
  </si>
  <si>
    <t>(BALTEN) Balsas de Tenerife, EPEL</t>
  </si>
  <si>
    <t>Entidad No Financiera</t>
  </si>
  <si>
    <t>7__</t>
  </si>
  <si>
    <t xml:space="preserve"> Participación ECIT:</t>
  </si>
  <si>
    <t>Casino Taoro, S.A.</t>
  </si>
  <si>
    <t>12_</t>
  </si>
  <si>
    <t xml:space="preserve">  Ejercicio:</t>
  </si>
  <si>
    <t>Casino Playa de las Américas, S.A.</t>
  </si>
  <si>
    <t>13_</t>
  </si>
  <si>
    <t>Casino Santa Cruz, S.A.</t>
  </si>
  <si>
    <t>14_</t>
  </si>
  <si>
    <t>ÍNDICE</t>
  </si>
  <si>
    <t>Institución Ferial de Tenerife, S.A.</t>
  </si>
  <si>
    <t>15_</t>
  </si>
  <si>
    <t xml:space="preserve">(TITSA) Transportes Interurbanos de Tenerife, S.A. </t>
  </si>
  <si>
    <t>Mayoritaria</t>
  </si>
  <si>
    <t>16_</t>
  </si>
  <si>
    <t>Datos generales e índice</t>
  </si>
  <si>
    <t>Metropolitano de Tenerife, S.A.</t>
  </si>
  <si>
    <t>17_</t>
  </si>
  <si>
    <t>Check list</t>
  </si>
  <si>
    <t>Empresa Insular de Artesanía, S.A.</t>
  </si>
  <si>
    <t>19_</t>
  </si>
  <si>
    <t>Órganos de Gobierno</t>
  </si>
  <si>
    <t>(SINPROMI) Sociedad Insular para la Promoción de las Personas con Discapacidad, S.L.</t>
  </si>
  <si>
    <t>20_</t>
  </si>
  <si>
    <t>Accionistas</t>
  </si>
  <si>
    <t>Auditorio de Tenerife, S.A.</t>
  </si>
  <si>
    <t>21_</t>
  </si>
  <si>
    <t>Cuenta de Pérdidas y Ganancias</t>
  </si>
  <si>
    <t>(IDECO) Gestión Insular para el Deporte, la Cultura y el Ocio, S.A.</t>
  </si>
  <si>
    <t>22_</t>
  </si>
  <si>
    <t>Información adicional Cuenta de Pérdidas y Ganancias</t>
  </si>
  <si>
    <t>(ITER) Instituto Tecnológico y de Energías Renovables, S.A.</t>
  </si>
  <si>
    <t>23_</t>
  </si>
  <si>
    <t>Balance de Situación, Activo</t>
  </si>
  <si>
    <t>(CULTESA) Cultivos y Tecnología Agraria de Tenerife, S.A.</t>
  </si>
  <si>
    <t>24_</t>
  </si>
  <si>
    <t>Balance de Situación, Pasivo y Patrimonio Neto</t>
  </si>
  <si>
    <t>(INtech Tenerife) Parque Científico y Tecnológico de Tenerife, S.A.</t>
  </si>
  <si>
    <t>25_</t>
  </si>
  <si>
    <t>Movimiento de fondos propios</t>
  </si>
  <si>
    <t xml:space="preserve">(IT3) Instituto Tecnológico y de Telecomunicaciones de Tenerife, S.L. </t>
  </si>
  <si>
    <t>26_</t>
  </si>
  <si>
    <t>Estado de Flujos de Efectivo</t>
  </si>
  <si>
    <t>(INVOLCAN) Instituto Volcanológico de Canarias, S.A.</t>
  </si>
  <si>
    <t>27_</t>
  </si>
  <si>
    <t>Inversiones reales</t>
  </si>
  <si>
    <t>(CANALINK) Canarias Submarine Link, S.L.</t>
  </si>
  <si>
    <t>28_</t>
  </si>
  <si>
    <t>Inversiones no financieras</t>
  </si>
  <si>
    <t>(IMETISA) Instituto Médico Tinerfeño, S.A.</t>
  </si>
  <si>
    <t>29_</t>
  </si>
  <si>
    <t>Inversiones financieras</t>
  </si>
  <si>
    <t>SPET Turismo de Tenerife, S.A.</t>
  </si>
  <si>
    <t>30_</t>
  </si>
  <si>
    <t>Transferencias y subvenciones no reintegrables</t>
  </si>
  <si>
    <t>Polígono Industrial de Granadilla, S.A.</t>
  </si>
  <si>
    <t>Minoritaria</t>
  </si>
  <si>
    <t>31_</t>
  </si>
  <si>
    <t>Transferencias y subvenciones reintegrables</t>
  </si>
  <si>
    <t>32_</t>
  </si>
  <si>
    <r>
      <t>Deuda a</t>
    </r>
    <r>
      <rPr>
        <sz val="12"/>
        <color indexed="8"/>
        <rFont val="Arial"/>
        <family val="2"/>
      </rPr>
      <t xml:space="preserve"> corto y</t>
    </r>
    <r>
      <rPr>
        <sz val="12"/>
        <color indexed="8"/>
        <rFont val="Arial"/>
        <family val="2"/>
      </rPr>
      <t xml:space="preserve"> largo plazo</t>
    </r>
  </si>
  <si>
    <t>Eólicas de Tenerife, A.I.E.</t>
  </si>
  <si>
    <t>33_</t>
  </si>
  <si>
    <t>Deuda viva y previsión de vencimientos de deuda</t>
  </si>
  <si>
    <t>Polígono Industrial de Güimar, A.M.C. (En liquidación)</t>
  </si>
  <si>
    <t>34_</t>
  </si>
  <si>
    <t>Perfíl de vencimientos de deuda a 10 años</t>
  </si>
  <si>
    <t>Personal</t>
  </si>
  <si>
    <t>Operaciones internas</t>
  </si>
  <si>
    <t>Encargos de los poderes adjudicadores</t>
  </si>
  <si>
    <t>Estabilidad presupuestaria</t>
  </si>
  <si>
    <t>Información adicional PROVISIONES A LARGO Y A CORTO PLAZO</t>
  </si>
  <si>
    <t>Fuentes de financiación</t>
  </si>
  <si>
    <t>Presupuesto</t>
  </si>
  <si>
    <t>INSTRUCCIONES GENERALES</t>
  </si>
  <si>
    <r>
      <rPr>
        <b/>
        <sz val="12"/>
        <color indexed="8"/>
        <rFont val="Arial"/>
        <family val="2"/>
      </rPr>
      <t>Todas los datos económicos deben expresarse en EUROS</t>
    </r>
    <r>
      <rPr>
        <sz val="12"/>
        <color indexed="8"/>
        <rFont val="Arial"/>
        <family val="2"/>
      </rPr>
      <t>. No es válido introducir datos en miles de euros, ni millones de euros.</t>
    </r>
  </si>
  <si>
    <t>Cabildo Insular de Tenerife</t>
  </si>
  <si>
    <t>GENERAL</t>
  </si>
  <si>
    <t>Plaza de España, S/N</t>
  </si>
  <si>
    <t>38003 Santa Cruz de Tenerife</t>
  </si>
  <si>
    <t>Teléfono: 901 501 901</t>
  </si>
  <si>
    <t>www.tenerife.es</t>
  </si>
  <si>
    <t>º</t>
  </si>
  <si>
    <t xml:space="preserve"> ENTIDAD:</t>
  </si>
  <si>
    <t xml:space="preserve"> Listado de comprobaciones (CHECK LIST)</t>
  </si>
  <si>
    <t>CC.AA.  ( n-2 )</t>
  </si>
  <si>
    <t>PAIF Aprobado (n-1)</t>
  </si>
  <si>
    <t>Estimación cierre ( n-1 )</t>
  </si>
  <si>
    <t>Previsión PAIF ( n )</t>
  </si>
  <si>
    <r>
      <t xml:space="preserve">CHECK LIST   </t>
    </r>
    <r>
      <rPr>
        <b/>
        <sz val="12"/>
        <color indexed="30"/>
        <rFont val="Arial"/>
        <family val="2"/>
      </rPr>
      <t>GENERAL y FC-1</t>
    </r>
    <r>
      <rPr>
        <b/>
        <sz val="12"/>
        <color indexed="8"/>
        <rFont val="Arial"/>
        <family val="2"/>
      </rPr>
      <t xml:space="preserve">   </t>
    </r>
    <r>
      <rPr>
        <sz val="12"/>
        <color indexed="30"/>
        <rFont val="Arial"/>
        <family val="2"/>
      </rPr>
      <t>ÓRGANOS DE GOBIERNO</t>
    </r>
  </si>
  <si>
    <t>En la hoja GENERAL, ¿se ha seleccionado el nombre de la Entidad Dependiente en el menu desplegable?</t>
  </si>
  <si>
    <t>En la hoja GENERAL, ¿se ha seleccionado el modelo de Cuentas Anuales (CCAA) aplicable a la Entidad?</t>
  </si>
  <si>
    <t>En el formulario FC-1 están cumplimentados los nombres del presidente, secretario y vocal</t>
  </si>
  <si>
    <t>En el formulario FC-1 está cumplimentado el nombre de la gerencia</t>
  </si>
  <si>
    <t>En el formulario FC-1 está cumplimentado el nombre del letrado asesor</t>
  </si>
  <si>
    <t>En el formulario FC-1 está cumplimentado el apartado "designado por:" para todos los miembros del Cons. Admón.</t>
  </si>
  <si>
    <r>
      <t xml:space="preserve">CHECK LIST   </t>
    </r>
    <r>
      <rPr>
        <b/>
        <sz val="12"/>
        <color indexed="30"/>
        <rFont val="Arial"/>
        <family val="2"/>
      </rPr>
      <t>FC-2</t>
    </r>
    <r>
      <rPr>
        <b/>
        <sz val="12"/>
        <color indexed="8"/>
        <rFont val="Arial"/>
        <family val="2"/>
      </rPr>
      <t xml:space="preserve">   </t>
    </r>
    <r>
      <rPr>
        <sz val="12"/>
        <color indexed="30"/>
        <rFont val="Arial"/>
        <family val="2"/>
      </rPr>
      <t>ACCIONISTAS</t>
    </r>
  </si>
  <si>
    <t>En el formulario FC-2 está cumplimentada la información de accionistas</t>
  </si>
  <si>
    <t>En el formulario FC-2 el porcentaje de participación de todos los accionistas = 100,00%</t>
  </si>
  <si>
    <t>En el formulario FC-2 está cumplimentado el nombre del auditor de cuentas</t>
  </si>
  <si>
    <r>
      <t xml:space="preserve">CHECK LIST   </t>
    </r>
    <r>
      <rPr>
        <b/>
        <sz val="12"/>
        <color indexed="30"/>
        <rFont val="Arial"/>
        <family val="2"/>
      </rPr>
      <t>FC-3</t>
    </r>
    <r>
      <rPr>
        <b/>
        <sz val="12"/>
        <color indexed="8"/>
        <rFont val="Arial"/>
        <family val="2"/>
      </rPr>
      <t xml:space="preserve">   </t>
    </r>
    <r>
      <rPr>
        <sz val="12"/>
        <color indexed="30"/>
        <rFont val="Arial"/>
        <family val="2"/>
      </rPr>
      <t>PÉRDIDAS Y GANANCIAS</t>
    </r>
  </si>
  <si>
    <t>La aportación genérica cubre en su totalidad las pérdidas previstas en PyG</t>
  </si>
  <si>
    <t>Rtdo. Ejercicio PN (FC-4_PASIVO)  = Rtdo. PyG  (FC-3_CPyG)</t>
  </si>
  <si>
    <t>Importe neto de la cifra de negocios = detalle en FC-3.1</t>
  </si>
  <si>
    <t>Otros resultados PyG = detalle gastos e ingresos extraordinarios en FC-3.1</t>
  </si>
  <si>
    <t>Ingresos accesorios PyG = detalle ingresos accesorios en FC-3.1</t>
  </si>
  <si>
    <t>Subvenc. Explotación PyG = detalle Subv. en FC-3.1</t>
  </si>
  <si>
    <t>Gastos de personal en PyG con desglose en FC-13 = cifra total de gastos de personal en FC-13</t>
  </si>
  <si>
    <t>Cifra de sueldos y salarios con desglose en FC-13 (FC-3_CPyG)  = Sueldos y salarios en (FC-13)</t>
  </si>
  <si>
    <t>Cargas Sociales en PyG (FC-3_CPyG)  = Acción Social y Seguridad Social (FC-13)</t>
  </si>
  <si>
    <r>
      <t xml:space="preserve">CHECK LIST   </t>
    </r>
    <r>
      <rPr>
        <b/>
        <sz val="12"/>
        <color indexed="30"/>
        <rFont val="Arial"/>
        <family val="2"/>
      </rPr>
      <t>FC-4</t>
    </r>
    <r>
      <rPr>
        <b/>
        <sz val="12"/>
        <color indexed="8"/>
        <rFont val="Arial"/>
        <family val="2"/>
      </rPr>
      <t xml:space="preserve">   </t>
    </r>
    <r>
      <rPr>
        <sz val="12"/>
        <color indexed="30"/>
        <rFont val="Arial"/>
        <family val="2"/>
      </rPr>
      <t>BALANCE</t>
    </r>
  </si>
  <si>
    <t>Activo (FC-4_ACTIVO)  =  Pasivo y patrimonio neto  (FC-4_PASIVO)</t>
  </si>
  <si>
    <t>Análisis del Fondo de Maniobra (FM)</t>
  </si>
  <si>
    <t>Capital en FC-4 PASIVO = Movimiento de Fondos Propios en FC-4.1</t>
  </si>
  <si>
    <t>Prima de emisión en FC-4 PASIVO = Movimiento de Fondos Propios en FC-4.1</t>
  </si>
  <si>
    <t>Reservas en FC-4 PASIVO = Movimiento de Fondos Propios en FC-4.1</t>
  </si>
  <si>
    <t>Acciones y participaciones en patrimonio propias en FC-4 PASIVO = Movimiento de Fondos Propios en FC-4.1</t>
  </si>
  <si>
    <t>Resultado de ejercicios anteriores en FC-4 PASIVO = Movimiento de Fondos Propios en FC-4.1</t>
  </si>
  <si>
    <t>Otras aportaciones de socios en FC-4 PASIVO = Movimiento de Fondos Propios en FC-4.1</t>
  </si>
  <si>
    <t>Aumentos en otras aportaciones de socios en FC-4-1 PASIVO = Altas en FC-9</t>
  </si>
  <si>
    <t>Resultado del ejercicio en FC-4 PASIVO = Movimiento de Fondos Propios en FC-4.1</t>
  </si>
  <si>
    <t>Dividendo a cuenta en FC-4 PASIVO = Movimiento de Fondos Propios en FC-4.1</t>
  </si>
  <si>
    <t>Otros instrumentos de patrimonio en FC-4 PASIVO = Movimiento de Fondos Propios en FC-4.1</t>
  </si>
  <si>
    <r>
      <t xml:space="preserve">CHECK LIST   </t>
    </r>
    <r>
      <rPr>
        <b/>
        <sz val="12"/>
        <color indexed="30"/>
        <rFont val="Arial"/>
        <family val="2"/>
      </rPr>
      <t>FC-5</t>
    </r>
    <r>
      <rPr>
        <b/>
        <sz val="12"/>
        <color indexed="8"/>
        <rFont val="Arial"/>
        <family val="2"/>
      </rPr>
      <t xml:space="preserve">   </t>
    </r>
    <r>
      <rPr>
        <sz val="12"/>
        <color indexed="30"/>
        <rFont val="Arial"/>
        <family val="2"/>
      </rPr>
      <t>ESTADO DE FLUJOS DE EFECTIVO</t>
    </r>
  </si>
  <si>
    <t>Aumento/disminución neta efectivo = variación efectivo</t>
  </si>
  <si>
    <r>
      <t xml:space="preserve">CHECK LIST   </t>
    </r>
    <r>
      <rPr>
        <b/>
        <sz val="12"/>
        <color indexed="30"/>
        <rFont val="Arial"/>
        <family val="2"/>
      </rPr>
      <t>FC-6</t>
    </r>
    <r>
      <rPr>
        <b/>
        <sz val="12"/>
        <color indexed="8"/>
        <rFont val="Arial"/>
        <family val="2"/>
      </rPr>
      <t xml:space="preserve">   </t>
    </r>
    <r>
      <rPr>
        <sz val="12"/>
        <color indexed="30"/>
        <rFont val="Arial"/>
        <family val="2"/>
      </rPr>
      <t>INVERSIONES</t>
    </r>
    <r>
      <rPr>
        <b/>
        <sz val="12"/>
        <color indexed="8"/>
        <rFont val="Arial"/>
        <family val="2"/>
      </rPr>
      <t xml:space="preserve"> | </t>
    </r>
    <r>
      <rPr>
        <b/>
        <sz val="12"/>
        <color indexed="30"/>
        <rFont val="Arial"/>
        <family val="2"/>
      </rPr>
      <t xml:space="preserve">FC-7 </t>
    </r>
    <r>
      <rPr>
        <sz val="12"/>
        <color indexed="30"/>
        <rFont val="Arial"/>
        <family val="2"/>
      </rPr>
      <t>VARIACIONES INVERSIONES NO FINANCIERAS</t>
    </r>
  </si>
  <si>
    <t>Inversiones reales: Coste total = ejecución prevista 31-12-(n-1) + programación plurianual (FC-6)</t>
  </si>
  <si>
    <t>Inmovilizado intangible = Detalle de movimientos (FC-7)</t>
  </si>
  <si>
    <t>Inmovilizado material = Detalle de movimientos (FC-7)</t>
  </si>
  <si>
    <t>Inversiones inmobiliarias = Detalle de movimientos (FC-7)</t>
  </si>
  <si>
    <t>Existencias finales = Detalle de movimientos (FC-7)</t>
  </si>
  <si>
    <t>Dotaciones a la amortización PyG = Detalle de movimientos (FC-7)</t>
  </si>
  <si>
    <t>Programación plurianual (año n) en FC-6 = Adquisiciones (año n) en FC-7</t>
  </si>
  <si>
    <r>
      <t xml:space="preserve">CHECK LIST   </t>
    </r>
    <r>
      <rPr>
        <b/>
        <sz val="12"/>
        <color indexed="30"/>
        <rFont val="Arial"/>
        <family val="2"/>
      </rPr>
      <t>FC-8</t>
    </r>
    <r>
      <rPr>
        <b/>
        <sz val="12"/>
        <color indexed="8"/>
        <rFont val="Arial"/>
        <family val="2"/>
      </rPr>
      <t xml:space="preserve">   </t>
    </r>
    <r>
      <rPr>
        <sz val="12"/>
        <color indexed="30"/>
        <rFont val="Arial"/>
        <family val="2"/>
      </rPr>
      <t>VARIACIÓN DE LAS INVERSIONES FINANCIERAS</t>
    </r>
  </si>
  <si>
    <t>Inversiones en instrumentos patrimonio CP+LP (grupo y asociadas) = detalle en FC-8</t>
  </si>
  <si>
    <t>Resto Inversiones financieras (grupo y asociadas) = detalle en FC-8</t>
  </si>
  <si>
    <t>Inversiones en instrumentos patrimonio CP + LP (otras) = detalle en FC-8</t>
  </si>
  <si>
    <t>Resto Inversiones financieras (otras) = detalle en FC-8</t>
  </si>
  <si>
    <r>
      <t xml:space="preserve">CHECK LIST   </t>
    </r>
    <r>
      <rPr>
        <b/>
        <sz val="12"/>
        <color indexed="30"/>
        <rFont val="Arial"/>
        <family val="2"/>
      </rPr>
      <t>FC-9</t>
    </r>
    <r>
      <rPr>
        <b/>
        <sz val="12"/>
        <color indexed="8"/>
        <rFont val="Arial"/>
        <family val="2"/>
      </rPr>
      <t xml:space="preserve"> </t>
    </r>
    <r>
      <rPr>
        <b/>
        <sz val="12"/>
        <color indexed="30"/>
        <rFont val="Arial"/>
        <family val="2"/>
      </rPr>
      <t>y FC-9.1</t>
    </r>
    <r>
      <rPr>
        <b/>
        <sz val="12"/>
        <color indexed="8"/>
        <rFont val="Arial"/>
        <family val="2"/>
      </rPr>
      <t xml:space="preserve">  </t>
    </r>
    <r>
      <rPr>
        <sz val="12"/>
        <color indexed="30"/>
        <rFont val="Arial"/>
        <family val="2"/>
      </rPr>
      <t>SUBVENCIONES Y TRANSFERENCIAS</t>
    </r>
    <r>
      <rPr>
        <b/>
        <sz val="12"/>
        <color indexed="8"/>
        <rFont val="Arial"/>
        <family val="2"/>
      </rPr>
      <t xml:space="preserve">  </t>
    </r>
  </si>
  <si>
    <r>
      <t>Total s</t>
    </r>
    <r>
      <rPr>
        <sz val="12"/>
        <color indexed="8"/>
        <rFont val="Arial"/>
        <family val="2"/>
      </rPr>
      <t>ubvenciones capital</t>
    </r>
    <r>
      <rPr>
        <sz val="12"/>
        <color indexed="8"/>
        <rFont val="Arial"/>
        <family val="2"/>
      </rPr>
      <t xml:space="preserve"> concedidas</t>
    </r>
    <r>
      <rPr>
        <sz val="12"/>
        <color indexed="8"/>
        <rFont val="Arial"/>
        <family val="2"/>
      </rPr>
      <t xml:space="preserve"> </t>
    </r>
    <r>
      <rPr>
        <sz val="12"/>
        <color indexed="8"/>
        <rFont val="Arial"/>
        <family val="2"/>
      </rPr>
      <t xml:space="preserve">= </t>
    </r>
    <r>
      <rPr>
        <sz val="12"/>
        <color indexed="8"/>
        <rFont val="Arial"/>
        <family val="2"/>
      </rPr>
      <t>desglose 130-131-132 + desglose 479 en FC-9</t>
    </r>
  </si>
  <si>
    <t>Subvenciones capital en balance = dato en FC-9</t>
  </si>
  <si>
    <t>Impuesto por pasivo diferido (subvenciones) en balance = dato en FC-9</t>
  </si>
  <si>
    <t>Imputación de subvenciones capital en PyG (FC-3) = detalle de imputación en FC-9</t>
  </si>
  <si>
    <t>Subvenciones explotación en PyG = dato en FC-9</t>
  </si>
  <si>
    <t>Subvenciones explotación del Cabildo en PyG (en FC-3_1) = dato en FC-9</t>
  </si>
  <si>
    <t xml:space="preserve">Aportación genérica del Cabildo correctamente distribuida entre Patrimonio y PyG en FC-9 </t>
  </si>
  <si>
    <t>Deudas transformables en subvenciones a largo plazo en FC-4-PASIVO = desglose en FC-9.1</t>
  </si>
  <si>
    <t>Deudas transformables en subvenciones a corto plazo en FC-4-PASIVO = desglose en FC-9.1</t>
  </si>
  <si>
    <t>En FC-9.1, ¿se ha cumplimentado la columna D, que identifica si la aportación es de capital o corriente?</t>
  </si>
  <si>
    <t>EN FC-9_1, la clasificación a largo plazo (172) y a corto plazo (522) coinciden con el total</t>
  </si>
  <si>
    <t>Traspaso correcto de aportaciones específicas de capital de reintegrables (FC-9.1) a no reintegrables (FC-9)</t>
  </si>
  <si>
    <t>Traspaso correcto de aportaciones específicas corrientes de reintegrables (FC-9.1) a no reintegrables (FC-9)</t>
  </si>
  <si>
    <r>
      <t xml:space="preserve">CHECK LIST   </t>
    </r>
    <r>
      <rPr>
        <b/>
        <sz val="12"/>
        <color indexed="30"/>
        <rFont val="Arial"/>
        <family val="2"/>
      </rPr>
      <t>FC-10</t>
    </r>
    <r>
      <rPr>
        <b/>
        <sz val="12"/>
        <color indexed="8"/>
        <rFont val="Arial"/>
        <family val="2"/>
      </rPr>
      <t xml:space="preserve">   </t>
    </r>
    <r>
      <rPr>
        <sz val="12"/>
        <color indexed="30"/>
        <rFont val="Arial"/>
        <family val="2"/>
      </rPr>
      <t>DEUDAS A CORTO Y LARGO PLAZO</t>
    </r>
  </si>
  <si>
    <t>Obligaciones y otros valores negociables a LARGO PLAZO FC-4 PASIVO = desglose en FC-10</t>
  </si>
  <si>
    <t>Obligaciones y otros valores negociables a CORTO PLAZO FC-4 PASIVO = desglose en FC-10</t>
  </si>
  <si>
    <r>
      <t xml:space="preserve">Deuda ent. Crédito + arrend. Financ. </t>
    </r>
    <r>
      <rPr>
        <sz val="12"/>
        <color indexed="8"/>
        <rFont val="Arial"/>
        <family val="2"/>
      </rPr>
      <t xml:space="preserve">Largo Plazo </t>
    </r>
    <r>
      <rPr>
        <sz val="12"/>
        <color indexed="8"/>
        <rFont val="Arial"/>
        <family val="2"/>
      </rPr>
      <t>en FC-4 PASIVO = desglose en FC-10</t>
    </r>
  </si>
  <si>
    <r>
      <t xml:space="preserve">Deuda ent. Crédito + arrend. Financ. Corto Plazo </t>
    </r>
    <r>
      <rPr>
        <sz val="12"/>
        <color indexed="8"/>
        <rFont val="Arial"/>
        <family val="2"/>
      </rPr>
      <t>en FC-4 PASIVO = desglose en FC-10</t>
    </r>
  </si>
  <si>
    <t>Otros pasivos financieros a largo plazo (resto) en FC-4-PASIVO = desglose en FC-10</t>
  </si>
  <si>
    <t>Otros pasivos financieros a corto plazo (resto) en FC-4-PASIVO = desglose en FC-10</t>
  </si>
  <si>
    <t>Deudas con empresas del grupo y asociadas a largo plazo en FC-4 PASIVO = desglose en FC-10</t>
  </si>
  <si>
    <t>Deudas con empresas del grupo y asociadas a corto plazo en FC-4 PASIVO = desglose en FC-10</t>
  </si>
  <si>
    <t>Obligaciones y otros valores negociables a CP + LP = Total deuda a 31-12-año n en FC-10</t>
  </si>
  <si>
    <t>Deudas entidades crédito Clasificación CP+LP = Total deuda a 31-12-año n en FC-10</t>
  </si>
  <si>
    <t>Otros pasivos financieros Clasificación CP+LP = Total deuda a 31-12-año n en FC-10</t>
  </si>
  <si>
    <t>Deudas empresas grupo Clasificación CP+LP = Total deuda a 31-12-año n en FC-10</t>
  </si>
  <si>
    <r>
      <t xml:space="preserve">CHECK LIST   </t>
    </r>
    <r>
      <rPr>
        <b/>
        <sz val="12"/>
        <color indexed="30"/>
        <rFont val="Arial"/>
        <family val="2"/>
      </rPr>
      <t>FC-16</t>
    </r>
    <r>
      <rPr>
        <b/>
        <sz val="12"/>
        <color indexed="8"/>
        <rFont val="Arial"/>
        <family val="2"/>
      </rPr>
      <t xml:space="preserve">   </t>
    </r>
    <r>
      <rPr>
        <sz val="12"/>
        <color indexed="30"/>
        <rFont val="Arial"/>
        <family val="2"/>
      </rPr>
      <t>CAPACIDAD / NECESIDAD FINANCIACIÓN</t>
    </r>
  </si>
  <si>
    <t>Provisiones a largo plazo en Balance = dato en FC-16_1</t>
  </si>
  <si>
    <t>Provisiones a corto plazo en Balance = dato en FC-16_1</t>
  </si>
  <si>
    <r>
      <t xml:space="preserve">CHECK LIST   </t>
    </r>
    <r>
      <rPr>
        <b/>
        <sz val="12"/>
        <color indexed="30"/>
        <rFont val="Arial"/>
        <family val="2"/>
      </rPr>
      <t>FC-17</t>
    </r>
    <r>
      <rPr>
        <b/>
        <sz val="12"/>
        <color indexed="8"/>
        <rFont val="Arial"/>
        <family val="2"/>
      </rPr>
      <t xml:space="preserve">   </t>
    </r>
    <r>
      <rPr>
        <sz val="12"/>
        <color indexed="30"/>
        <rFont val="Arial"/>
        <family val="2"/>
      </rPr>
      <t>FUENTES DE FINANCIACIÓN</t>
    </r>
  </si>
  <si>
    <t>Subvenciones de capital en FC-9 = dato en FC-17</t>
  </si>
  <si>
    <t>Subvenciones de explotación en FC-9 = dato en FC-17</t>
  </si>
  <si>
    <r>
      <t xml:space="preserve">CHECK LIST   </t>
    </r>
    <r>
      <rPr>
        <b/>
        <sz val="12"/>
        <color indexed="30"/>
        <rFont val="Arial"/>
        <family val="2"/>
      </rPr>
      <t>FC-90</t>
    </r>
    <r>
      <rPr>
        <b/>
        <sz val="12"/>
        <color indexed="8"/>
        <rFont val="Arial"/>
        <family val="2"/>
      </rPr>
      <t xml:space="preserve">  </t>
    </r>
    <r>
      <rPr>
        <sz val="12"/>
        <color indexed="30"/>
        <rFont val="Arial"/>
        <family val="2"/>
      </rPr>
      <t>ESTRUCTURA PRESUPUESTARIA PÚBLICA</t>
    </r>
  </si>
  <si>
    <r>
      <t>Resultado de PyG = Resultado FC-9</t>
    </r>
    <r>
      <rPr>
        <sz val="12"/>
        <color indexed="8"/>
        <rFont val="Arial"/>
        <family val="2"/>
      </rPr>
      <t>0-DETALLE</t>
    </r>
  </si>
  <si>
    <t>E_SI</t>
  </si>
  <si>
    <t>OBSERVACIONES Y NOTAS DE LA ENTIDAD</t>
  </si>
  <si>
    <t>ÓRGANOS DE GOBIERNO DE LA ENTIDAD</t>
  </si>
  <si>
    <t>Número total</t>
  </si>
  <si>
    <t>Designados por el sector público</t>
  </si>
  <si>
    <t>a) Por el Cabildo Insular de Tenerife o sus Entes Dependientes</t>
  </si>
  <si>
    <t>b) Por otras Administraciones Públicas</t>
  </si>
  <si>
    <t>Designados por el sector privado</t>
  </si>
  <si>
    <t>Otras AA.PP.</t>
  </si>
  <si>
    <t>Cabildo</t>
  </si>
  <si>
    <t>Otras AAPP</t>
  </si>
  <si>
    <t>Privado</t>
  </si>
  <si>
    <t>Sector privado</t>
  </si>
  <si>
    <t>Cargo:</t>
  </si>
  <si>
    <t>Nombre:</t>
  </si>
  <si>
    <t>Designado por:</t>
  </si>
  <si>
    <t>Fecha nombramiento:</t>
  </si>
  <si>
    <t>Órgano que acuerda nombramiento</t>
  </si>
  <si>
    <t>No consejero/a</t>
  </si>
  <si>
    <t>Presidencia</t>
  </si>
  <si>
    <t>Valentin Esteban González Évora</t>
  </si>
  <si>
    <t>Junta General de Accionistas</t>
  </si>
  <si>
    <t>Vicepresidencia</t>
  </si>
  <si>
    <t xml:space="preserve">Agustin Sabino Garcia-Cabo </t>
  </si>
  <si>
    <t>Secretaría</t>
  </si>
  <si>
    <t>Juana Elvira Pérez Delgado</t>
  </si>
  <si>
    <t>Vicesecretaría</t>
  </si>
  <si>
    <t>Vocal 1</t>
  </si>
  <si>
    <t>Lope Domingo Afonso Hernández</t>
  </si>
  <si>
    <t>Vocal 2</t>
  </si>
  <si>
    <t>Juan Antonio Alonso Barreto</t>
  </si>
  <si>
    <t>Vocal 3</t>
  </si>
  <si>
    <t>Carlos Andres Diaz Martin</t>
  </si>
  <si>
    <t>Vocal 4</t>
  </si>
  <si>
    <t>Francisco Javier Parrilla Gomez</t>
  </si>
  <si>
    <t>Vocal 5</t>
  </si>
  <si>
    <t>Almudena Minguito Garcia</t>
  </si>
  <si>
    <t>Vocal 6</t>
  </si>
  <si>
    <t>Maximiano Ardoy Ortega</t>
  </si>
  <si>
    <t>Vocal 7</t>
  </si>
  <si>
    <t>Maria Belén Albadalejo Campos</t>
  </si>
  <si>
    <t>Vocal 8</t>
  </si>
  <si>
    <t>Eduardo Pasalodos Sevillano</t>
  </si>
  <si>
    <t>Vocal 9</t>
  </si>
  <si>
    <t>Carmen Dolores Pérez Pérez</t>
  </si>
  <si>
    <t>Vocal 10</t>
  </si>
  <si>
    <t>Rosa Elena Dávila Mamely</t>
  </si>
  <si>
    <t>Vocal 11</t>
  </si>
  <si>
    <t>Vocal 12</t>
  </si>
  <si>
    <t>Gerencia / Consejero-a delegado-a</t>
  </si>
  <si>
    <t>Jesús Alejandro Fernández Pombo</t>
  </si>
  <si>
    <t>Letrado/a Asesor/a</t>
  </si>
  <si>
    <t>Manuel Freddy Santos Padrón</t>
  </si>
  <si>
    <t>E_ID</t>
  </si>
  <si>
    <t>FC-1</t>
  </si>
  <si>
    <t>ACCIONISTAS, PARTICIPACIONES EN OTRAS ENTIDADES Y AUDITORES DE CUENTAS</t>
  </si>
  <si>
    <t xml:space="preserve">a) ACCIONISTAS </t>
  </si>
  <si>
    <t xml:space="preserve">Datos a 31 de diciembre de </t>
  </si>
  <si>
    <t>Variaciones producidas o previsibles en</t>
  </si>
  <si>
    <t>Razón Social</t>
  </si>
  <si>
    <t>NIF</t>
  </si>
  <si>
    <t>% Participación</t>
  </si>
  <si>
    <t>Nº Acciones / Participaciones</t>
  </si>
  <si>
    <t>Clase</t>
  </si>
  <si>
    <t>Valor Nominal (1)</t>
  </si>
  <si>
    <t>Valor Teórico (2)</t>
  </si>
  <si>
    <t>Incremento en la participación (Euros)</t>
  </si>
  <si>
    <t>Incremento en el nº de acciones</t>
  </si>
  <si>
    <t>Reducciones en la participación (Euros)</t>
  </si>
  <si>
    <t>Reducciones en el nº de acciones</t>
  </si>
  <si>
    <t>Observaciones</t>
  </si>
  <si>
    <t>Excmo. Cabildo Insular de Tenerife</t>
  </si>
  <si>
    <t>P3800001D</t>
  </si>
  <si>
    <t>Mercados Centrales de Abastecimiento,s.a.</t>
  </si>
  <si>
    <t>A28135614</t>
  </si>
  <si>
    <t>Ayuntamiento de Santa Cruz de Tenerife</t>
  </si>
  <si>
    <t>P3803800F</t>
  </si>
  <si>
    <t>Ayuntamiento de La Laguna</t>
  </si>
  <si>
    <t>P3802300H</t>
  </si>
  <si>
    <t>Ayuntamiento Puerto de la Cruz</t>
  </si>
  <si>
    <t>P3802800G</t>
  </si>
  <si>
    <t>Ayuntamiento el Rosario</t>
  </si>
  <si>
    <t>P3803200T</t>
  </si>
  <si>
    <t>Ayuntamiento de la Orotava</t>
  </si>
  <si>
    <t>P3802600A</t>
  </si>
  <si>
    <t>Ayuntamiento de Arona</t>
  </si>
  <si>
    <t>P3800600C</t>
  </si>
  <si>
    <t>Ayuntamiento de Guimar</t>
  </si>
  <si>
    <t>P3802000D</t>
  </si>
  <si>
    <t>Ayuntamiento de Granadilla</t>
  </si>
  <si>
    <t>P3801700Y</t>
  </si>
  <si>
    <t>Ayuntamiento de Adeje</t>
  </si>
  <si>
    <t>P3800100D</t>
  </si>
  <si>
    <t>Ayuntamiento La Victoria</t>
  </si>
  <si>
    <t>P3805100I</t>
  </si>
  <si>
    <t>Ayuntamiento de San Miguel</t>
  </si>
  <si>
    <t>P3803500B</t>
  </si>
  <si>
    <t>Ayuntamiento de El Sauzal</t>
  </si>
  <si>
    <t>P3804100J</t>
  </si>
  <si>
    <t>Ayuntamiento San Juan de la Rambla</t>
  </si>
  <si>
    <t>P3803400E</t>
  </si>
  <si>
    <t>Ayuntamiento de Arico</t>
  </si>
  <si>
    <t>P3800500E</t>
  </si>
  <si>
    <t>Ayuntamiento de Candelaria</t>
  </si>
  <si>
    <t>P3801100C</t>
  </si>
  <si>
    <t>Ayuntamiento de Fasnia</t>
  </si>
  <si>
    <t>P3801200A</t>
  </si>
  <si>
    <t>Ayuntamiento de Arafo</t>
  </si>
  <si>
    <t>P3800400H</t>
  </si>
  <si>
    <t>Ayuntamiento del El Tanque</t>
  </si>
  <si>
    <t>P3804400D</t>
  </si>
  <si>
    <t>b) PARTICIPACIONES EN OTRAS ENTIDADES</t>
  </si>
  <si>
    <t>Desembolsos pendientes</t>
  </si>
  <si>
    <t>Incremento en la participación</t>
  </si>
  <si>
    <t>Reducciones en la participación</t>
  </si>
  <si>
    <t>Caja Rural Sociedad Cooperativa de Credito</t>
  </si>
  <si>
    <t>F38005245</t>
  </si>
  <si>
    <t>AVALCANARIAS, S.G.R</t>
  </si>
  <si>
    <t>V76209899</t>
  </si>
  <si>
    <t>c) AUDITORES DE CUENTAS</t>
  </si>
  <si>
    <t>Nombre ó Razón Social</t>
  </si>
  <si>
    <t>NORTE AUDITORES,S.L.</t>
  </si>
  <si>
    <t>NOTAS</t>
  </si>
  <si>
    <t>(1) Valor nominal de una acción o participación</t>
  </si>
  <si>
    <t>(2) Valor teórico por acción o participación. Patrimonio neto a fin del ejercicio / nº de acciones o participaciones que componen el capital social</t>
  </si>
  <si>
    <t>FC-2</t>
  </si>
  <si>
    <t>CUENTA DE PÉRDIDAS Y GANANCIAS</t>
  </si>
  <si>
    <t>CC.AA.</t>
  </si>
  <si>
    <t>PAIF Aprobado</t>
  </si>
  <si>
    <t>Estimación cierre</t>
  </si>
  <si>
    <t>Previsión PAIF</t>
  </si>
  <si>
    <t>A)</t>
  </si>
  <si>
    <t>OPERACIONES CONTINUADAS</t>
  </si>
  <si>
    <t>1.</t>
  </si>
  <si>
    <t>Importe neto de la cifra de negocios (Detalle en FC-3.1)</t>
  </si>
  <si>
    <t>a)</t>
  </si>
  <si>
    <t>Ventas</t>
  </si>
  <si>
    <t>b)</t>
  </si>
  <si>
    <t>Prestaciones de servicios</t>
  </si>
  <si>
    <t>c)</t>
  </si>
  <si>
    <t>Ingresos de carácter financiero de las sociedades holding</t>
  </si>
  <si>
    <t>2.</t>
  </si>
  <si>
    <t>Variación de existencias de productos terminados y en curso de fabricación</t>
  </si>
  <si>
    <t>3.</t>
  </si>
  <si>
    <t>Trabajos realizados por la empresa para su activo</t>
  </si>
  <si>
    <t>4.</t>
  </si>
  <si>
    <t>Aprovisionamientos</t>
  </si>
  <si>
    <t>Consumo de mercaderías</t>
  </si>
  <si>
    <t>Consumo de materias primas y otros materiales consumibles</t>
  </si>
  <si>
    <t>Trabajos realizados por otras empresas</t>
  </si>
  <si>
    <t>d)</t>
  </si>
  <si>
    <t>Deterioro de mercaderías, materias primas y otros aprovisionamientos</t>
  </si>
  <si>
    <t xml:space="preserve">5. </t>
  </si>
  <si>
    <t>Otros ingresos de explotación (Detalle en FC-3.1)</t>
  </si>
  <si>
    <t>Ingresos accesorios y otros de gestión corriente</t>
  </si>
  <si>
    <t>Subvenciones de explotación incorporadas al resultado del ejercicio</t>
  </si>
  <si>
    <t>6.</t>
  </si>
  <si>
    <t>Gastos de personal</t>
  </si>
  <si>
    <t>Sueldos, salarios y asimilados</t>
  </si>
  <si>
    <t>Sueldos, salarios y asimilados detallados en FC-13 (Personal)</t>
  </si>
  <si>
    <t>Sueldos, salarios y asimilados no incoporados en FC-13 (Personal)</t>
  </si>
  <si>
    <t>(Por ejemplo dietas a los miembros del Consejo de Administación)</t>
  </si>
  <si>
    <t>Cargas sociales</t>
  </si>
  <si>
    <t>Provisiones</t>
  </si>
  <si>
    <t>7.</t>
  </si>
  <si>
    <t>Otros gastos de explotación</t>
  </si>
  <si>
    <t>Servicios exteriores</t>
  </si>
  <si>
    <t>Tributos</t>
  </si>
  <si>
    <t>Pérdidas, deterioro y variación de provisiones por operaciones comerciales</t>
  </si>
  <si>
    <t>Otros gastos de gestión corriente</t>
  </si>
  <si>
    <t>e)</t>
  </si>
  <si>
    <t>Gastos por emisión de gases de efecto invernadero</t>
  </si>
  <si>
    <t>8.</t>
  </si>
  <si>
    <t>Amortización del inmovilizado</t>
  </si>
  <si>
    <t>Amortización del inmovilizado intangible</t>
  </si>
  <si>
    <t>Amortización del inmovilizado material</t>
  </si>
  <si>
    <t>Amortización de las inversiones inmobiliarias</t>
  </si>
  <si>
    <t>9.</t>
  </si>
  <si>
    <t>Imputación de subvenciones de inmovilizado no financiero y otras</t>
  </si>
  <si>
    <t>10.</t>
  </si>
  <si>
    <t>Excesos de provisiones</t>
  </si>
  <si>
    <t>11.</t>
  </si>
  <si>
    <t>Deterioro y resultados por enajenaciones del inmovilizado</t>
  </si>
  <si>
    <t>Deterioro y pérdidas</t>
  </si>
  <si>
    <t>Del inmovilizado intangible</t>
  </si>
  <si>
    <t>Del inmovilizado material</t>
  </si>
  <si>
    <t>De las inversiones inmobiliarias</t>
  </si>
  <si>
    <t>Resultados por enajenaciones y otras</t>
  </si>
  <si>
    <t>Deterioro y resultados por enajenaciones del inmovilizado de las sociedades holding</t>
  </si>
  <si>
    <t>11.a</t>
  </si>
  <si>
    <t>Subvenciones concedidas y transferencia realizadas por la entidad</t>
  </si>
  <si>
    <t>Al sector público local de carácter administrativo</t>
  </si>
  <si>
    <t>Al sector público local de carácter empresarial o fundacional</t>
  </si>
  <si>
    <t>A otros</t>
  </si>
  <si>
    <t>12.</t>
  </si>
  <si>
    <t>Diferencia negativa de combinaciones de negocio</t>
  </si>
  <si>
    <t>13.</t>
  </si>
  <si>
    <t>Otros resultados (Detalle en FC-3.1)</t>
  </si>
  <si>
    <t>Gastos excepcionales</t>
  </si>
  <si>
    <t>Ingresos excepcionales</t>
  </si>
  <si>
    <t>A1)</t>
  </si>
  <si>
    <t>RESULTADO DE EXPLOTACIÓN (1+2+3+4+5+6+7+8+9+10+11+12+13)</t>
  </si>
  <si>
    <t>14.</t>
  </si>
  <si>
    <t>Ingresos financieros</t>
  </si>
  <si>
    <t>De participaciones en instrumentos de patrimonio</t>
  </si>
  <si>
    <t>a1)</t>
  </si>
  <si>
    <t>En empresas del grupo y asociadas</t>
  </si>
  <si>
    <t>a2)</t>
  </si>
  <si>
    <t>En terceros</t>
  </si>
  <si>
    <t>De valores negociables y otros instrumentos financieros</t>
  </si>
  <si>
    <t>b1)</t>
  </si>
  <si>
    <t>De empresas del grupo y asociadas</t>
  </si>
  <si>
    <t>b2)</t>
  </si>
  <si>
    <t>De terceros</t>
  </si>
  <si>
    <t>Imputación de subvenciones, donaciones y legados de carácter financiero</t>
  </si>
  <si>
    <t>15.</t>
  </si>
  <si>
    <t>Gastos financieros</t>
  </si>
  <si>
    <t>Por deudas con empresas del grupo y asociadas</t>
  </si>
  <si>
    <t>Por deudas con terceros</t>
  </si>
  <si>
    <t>Por actualización de provisiones</t>
  </si>
  <si>
    <t>16.</t>
  </si>
  <si>
    <t>Variación de valor razonable en instrumentos financieros</t>
  </si>
  <si>
    <t>Cartera de negociación y otros</t>
  </si>
  <si>
    <t>Imputación al resultado del ejercicio por activos financieros disponibles para la venta</t>
  </si>
  <si>
    <t>17.</t>
  </si>
  <si>
    <t>Diferencias de cambio</t>
  </si>
  <si>
    <t>18.</t>
  </si>
  <si>
    <t>Deterioro y resultado por enajenaciones de instrumentos financieros</t>
  </si>
  <si>
    <t>Deterioros y pérdidas</t>
  </si>
  <si>
    <t>19.</t>
  </si>
  <si>
    <t>Otros ingresos y gastos de carácter financiero</t>
  </si>
  <si>
    <t>Incorporación al activo de gastos financieros</t>
  </si>
  <si>
    <t>Ingresos financieros derivados de convenios de acreedores</t>
  </si>
  <si>
    <t>Resto de ingresos y gastos</t>
  </si>
  <si>
    <t>A2)</t>
  </si>
  <si>
    <t>RESULTADO FINANCIERO (14+15+16+17+18+19)</t>
  </si>
  <si>
    <t>A3)</t>
  </si>
  <si>
    <t>RESULTADO ANTES DE IMPUESTOS (A1+A2)</t>
  </si>
  <si>
    <t>20.</t>
  </si>
  <si>
    <t>Impuesto sobre beneficios</t>
  </si>
  <si>
    <t>A4)</t>
  </si>
  <si>
    <t>RESULTADOS EJERC. PROCEDENTES ACTIVIDADES CONTINUADAS (A3+20)</t>
  </si>
  <si>
    <t>B)</t>
  </si>
  <si>
    <t>OPERACIONES INTERRUMPIDAS</t>
  </si>
  <si>
    <t>21.</t>
  </si>
  <si>
    <t>Resultado procedente de operaciones interrumpidas neto de impuestos</t>
  </si>
  <si>
    <t>A5)</t>
  </si>
  <si>
    <t>RESULTADO DEL EJERCICIO (A4+21)</t>
  </si>
  <si>
    <t>FC-3</t>
  </si>
  <si>
    <t>INFORMACIÓN ADICIONAL RELATIVA A LA CUENTA DE PÉRDIDAS Y GANANCIAS</t>
  </si>
  <si>
    <t>Previsión</t>
  </si>
  <si>
    <t>I. VENTAS Y PRESTACIONES DE SERVICIOS (1)</t>
  </si>
  <si>
    <t>Sin incluir Igic</t>
  </si>
  <si>
    <t>Igic Facturado</t>
  </si>
  <si>
    <t>A.- A la Corporación Local (CL):</t>
  </si>
  <si>
    <t>A.1.- Ventas:</t>
  </si>
  <si>
    <t>A.2.- Prestaciones de servicios:</t>
  </si>
  <si>
    <t>B.- A Organismos y Entes Dependientes de la CL:</t>
  </si>
  <si>
    <t>B.1.- Ventas: (detallar)</t>
  </si>
  <si>
    <t>B.2.- Prestaciones de servicios: (detallar)</t>
  </si>
  <si>
    <t>ALQUILER ESPACIO PARA PLACAS FOTOVOLTAICAS ITER</t>
  </si>
  <si>
    <t>C.- Resto de Ventas y Prestaciones de servicios:</t>
  </si>
  <si>
    <t>C.1.- A otras AA PP</t>
  </si>
  <si>
    <t>C.1.1.- Ventas: (detallar)</t>
  </si>
  <si>
    <t>C.1.2.- Prestaciones de servicios: (detallar)</t>
  </si>
  <si>
    <t>ALQUILER SUPERFICIE A GMR CANARIAS,S.A.</t>
  </si>
  <si>
    <t>ALQUILER ESPACIO PLACAS FOTOVOLTAICAS MERCASA/VALLAS</t>
  </si>
  <si>
    <t>C.2.- Sector Privado</t>
  </si>
  <si>
    <t>C.2.1.- Ventas</t>
  </si>
  <si>
    <t>C.2.2.- Prestaciones de servicios</t>
  </si>
  <si>
    <t>TOTAL IMPORTE NETO CIFRA NEGOCIOS:</t>
  </si>
  <si>
    <t>INGRESOS Y GASTOS EXCEPCIONALES</t>
  </si>
  <si>
    <r>
      <t xml:space="preserve">DETALLE DE INGRESOS (Cta 778) (2).   Cifras en </t>
    </r>
    <r>
      <rPr>
        <b/>
        <u/>
        <sz val="12"/>
        <color indexed="8"/>
        <rFont val="Arial"/>
        <family val="2"/>
      </rPr>
      <t>positivo</t>
    </r>
  </si>
  <si>
    <t>Ingresos excepcionales CON efecto monetario o derecho de cobro</t>
  </si>
  <si>
    <t>Ingresos excepcionales SIN efecto monetario o derecho de cobro</t>
  </si>
  <si>
    <r>
      <t xml:space="preserve">DETALLE DE GASTOS (Cta 678) (3).     Cifras en </t>
    </r>
    <r>
      <rPr>
        <b/>
        <u/>
        <sz val="12"/>
        <color indexed="8"/>
        <rFont val="Arial"/>
        <family val="2"/>
      </rPr>
      <t>negativo</t>
    </r>
  </si>
  <si>
    <t>Gastos excepcionales CON efecto monetario o pasivo financiero</t>
  </si>
  <si>
    <t>Gastos excepcionales SIN efecto monetario o pasivo financiero</t>
  </si>
  <si>
    <t>IMPUESTO SOBRE SOCIEDADES</t>
  </si>
  <si>
    <t>Retenciones y pagos a cuenta del ejercicio</t>
  </si>
  <si>
    <t>Retenciones modelo 202 y IRCM de operación inter SEPI</t>
  </si>
  <si>
    <t>Cuota líquida a ingresar (+) o a devolver (-) del ejercicio anterior</t>
  </si>
  <si>
    <t>OTROS INGRESOS DE EXPLOTACIÓN</t>
  </si>
  <si>
    <t>a) Ingresos accesorios y otros de gestión corriente</t>
  </si>
  <si>
    <t xml:space="preserve">   a.1. Resultados de operaciones en común</t>
  </si>
  <si>
    <t xml:space="preserve">   a.2. Ingresos arrendamientos y pro. Industrial cedida en explotación</t>
  </si>
  <si>
    <t xml:space="preserve">   a.3. Ingresos por comisiones, servicios al personal y servicios diversos</t>
  </si>
  <si>
    <t xml:space="preserve">   a.4. Ingresos por PPD (Pago por Disponibilidad)</t>
  </si>
  <si>
    <t>b) Subvenc. explotación incorporadas al resultado del ejercicio</t>
  </si>
  <si>
    <t xml:space="preserve">   b.1. Estado</t>
  </si>
  <si>
    <t xml:space="preserve">   b.2. Comunidad autónoma</t>
  </si>
  <si>
    <t xml:space="preserve">   b.3. Corporaciones locales</t>
  </si>
  <si>
    <t xml:space="preserve">   b.4. Cabildo Insular de Tenerife</t>
  </si>
  <si>
    <t xml:space="preserve">   b.5. Otros entes (Unión Europea)</t>
  </si>
  <si>
    <t xml:space="preserve">   b.6. Otros entes (Resto)</t>
  </si>
  <si>
    <t xml:space="preserve">   b.7. Imputación de subvenciones de explotac. de ejercicios anteriores</t>
  </si>
  <si>
    <r>
      <rPr>
        <b/>
        <i/>
        <sz val="14"/>
        <color indexed="8"/>
        <rFont val="Arial"/>
        <family val="2"/>
      </rPr>
      <t>"SUBVENCIONES"</t>
    </r>
    <r>
      <rPr>
        <b/>
        <sz val="14"/>
        <color indexed="8"/>
        <rFont val="Arial"/>
        <family val="2"/>
      </rPr>
      <t xml:space="preserve"> CONCEDIDAS y TRANSFERENCIAS A REALIZAR POR LA ENTIDAD REGISTRADAS COMO GASTO EN LA CUENTA DE PÉRDIDAS Y GANANCIAS</t>
    </r>
  </si>
  <si>
    <t>Cuenta</t>
  </si>
  <si>
    <t>Contable GASTO</t>
  </si>
  <si>
    <t>a) Total</t>
  </si>
  <si>
    <r>
      <t xml:space="preserve">   a.1.</t>
    </r>
    <r>
      <rPr>
        <sz val="12"/>
        <color indexed="8"/>
        <rFont val="Arial"/>
        <family val="2"/>
      </rPr>
      <t xml:space="preserve"> Al sector público local de carácter administrativo</t>
    </r>
  </si>
  <si>
    <t xml:space="preserve">   a.2. Al sector público local de carácter empresarial o fundacional</t>
  </si>
  <si>
    <r>
      <t xml:space="preserve">   a.3</t>
    </r>
    <r>
      <rPr>
        <sz val="12"/>
        <color indexed="8"/>
        <rFont val="Arial"/>
        <family val="2"/>
      </rPr>
      <t>.</t>
    </r>
    <r>
      <rPr>
        <sz val="12"/>
        <color indexed="8"/>
        <rFont val="Arial"/>
        <family val="2"/>
      </rPr>
      <t xml:space="preserve"> A otros</t>
    </r>
  </si>
  <si>
    <t>(1) Ventas y Prestaciones de Servicios. Detallar la cifra del Importe Neto de la Cifra de Negocios de la Cuenta de Pérdidas y Ganancias</t>
  </si>
  <si>
    <t xml:space="preserve">(2) 778. Ingresos Excepcionales: Beneficios e ingresos de carácter excepcional y cuantía significativa que, atendiendo a su naturaleza, no deban contabilizarse en otras cuentas del grupo 7. </t>
  </si>
  <si>
    <t xml:space="preserve">(3) 678. Gastos Excepcionales: Pérdidas y gastos de carácter excepcional y cuantía significativa que, atendiendo a su naturaleza, no deban contabilizarse en otras cuentas del grupo 6. </t>
  </si>
  <si>
    <t xml:space="preserve">            A título indicativo se señalan los siguientes: los producidos por inundaciones, sanciones y multas, incendios...etc. (CIFRAS EN NEGATIVO)</t>
  </si>
  <si>
    <t>FC-3.1</t>
  </si>
  <si>
    <t>BALANCE DE SITUACIÓN - ACTIVO</t>
  </si>
  <si>
    <t>ACTIVO</t>
  </si>
  <si>
    <t xml:space="preserve">A) </t>
  </si>
  <si>
    <t>ACTIVO NO CORRIENTE</t>
  </si>
  <si>
    <t>I.</t>
  </si>
  <si>
    <t>Inmovilizado intangible</t>
  </si>
  <si>
    <t>Desarrollo</t>
  </si>
  <si>
    <t>Concesiones</t>
  </si>
  <si>
    <t>Patentes, licencias, marcas y similares</t>
  </si>
  <si>
    <t>Fondo de comercio</t>
  </si>
  <si>
    <t>5.</t>
  </si>
  <si>
    <t>Aplicaciones informáticas</t>
  </si>
  <si>
    <t>Investigación</t>
  </si>
  <si>
    <t>Propiedad intelectual</t>
  </si>
  <si>
    <t>Otros inmovilizado intangible</t>
  </si>
  <si>
    <t>II.</t>
  </si>
  <si>
    <t>Inmovilizado material</t>
  </si>
  <si>
    <t>Terrenos y construcciones</t>
  </si>
  <si>
    <t>Instalaciones técnicas y otro inmovilizado material</t>
  </si>
  <si>
    <t>Inmovilizado en curso y anticipos</t>
  </si>
  <si>
    <t>III.</t>
  </si>
  <si>
    <t>Inversiones inmobiliarias</t>
  </si>
  <si>
    <t>Terrenos</t>
  </si>
  <si>
    <t>Construcciones</t>
  </si>
  <si>
    <t>IV.</t>
  </si>
  <si>
    <t>Inversiones en empresas del grupo y asociadas a largo plazo</t>
  </si>
  <si>
    <t>Instrumentos de patrimonio</t>
  </si>
  <si>
    <t>Créditos a empresas</t>
  </si>
  <si>
    <t>Valores representativos de deuda</t>
  </si>
  <si>
    <t>Derivados</t>
  </si>
  <si>
    <t>Otros activos financieros</t>
  </si>
  <si>
    <t>Otras inversiones</t>
  </si>
  <si>
    <t>V.</t>
  </si>
  <si>
    <t>Inversiones financieras a largo plazo</t>
  </si>
  <si>
    <t>Créditos a terceros</t>
  </si>
  <si>
    <t>VI.</t>
  </si>
  <si>
    <t>Activos por impuesto diferido</t>
  </si>
  <si>
    <t>VII.</t>
  </si>
  <si>
    <t>Deudas comerciales no corrientes</t>
  </si>
  <si>
    <t>ACTIVO CORRIENTE</t>
  </si>
  <si>
    <t>Activos no corrientes mantenidos para la venta</t>
  </si>
  <si>
    <t>Existencias</t>
  </si>
  <si>
    <t>Comerciales</t>
  </si>
  <si>
    <t>Materias primas y otros aprovisionamientos</t>
  </si>
  <si>
    <t>Materias primas y otros aprovisionamientos a largo plazo</t>
  </si>
  <si>
    <t>Materias primas y otros aprovisionamientos a corto plazo</t>
  </si>
  <si>
    <t>Productos en curso</t>
  </si>
  <si>
    <t>De ciclo largo de producción</t>
  </si>
  <si>
    <t>De ciclo corto de producción</t>
  </si>
  <si>
    <t>Productos terminados</t>
  </si>
  <si>
    <t>Subproductos, residuos y materiales recuperados</t>
  </si>
  <si>
    <t>Anticipos a proveedores</t>
  </si>
  <si>
    <t>Deudores comerciales y otras cuentas a cobrar</t>
  </si>
  <si>
    <t>Clientes por ventas y prestaciones de servicios</t>
  </si>
  <si>
    <t>Clientes por ventas y prestaciones de servicios a largo plazo</t>
  </si>
  <si>
    <t>Clientes por ventas y prestaciones de servicios a corto plazo</t>
  </si>
  <si>
    <t>Clientes empresas del grupo y asociadas</t>
  </si>
  <si>
    <t>Deudores varios</t>
  </si>
  <si>
    <t>Activos por impuesto corriente</t>
  </si>
  <si>
    <t>Otros créditos con las administraciones públicas</t>
  </si>
  <si>
    <t>Excmo. Cabildo Insular de Tenerife, deudor por subvenciones concedidas</t>
  </si>
  <si>
    <t>Resto de otros créditos con las administraciones públicas</t>
  </si>
  <si>
    <t>Accionistas (socios) por desembolsos exigidos</t>
  </si>
  <si>
    <t>Inversiones en empresas del grupo y asociadas a corto plazo</t>
  </si>
  <si>
    <t>Inversiones financieras a corto plazo</t>
  </si>
  <si>
    <t>Periodificaciones a corto plazo</t>
  </si>
  <si>
    <t>Efectivo y otros activos líquidos equivalentes</t>
  </si>
  <si>
    <t>Tesorería</t>
  </si>
  <si>
    <t>Otros activos líquidos equivalentes</t>
  </si>
  <si>
    <t xml:space="preserve">      TOTAL ACTIVO (A+B)</t>
  </si>
  <si>
    <t>FC-4 - ACTIVO</t>
  </si>
  <si>
    <t>BALANCE DE SITUACIÓN - PATRIMONIO NETO Y PASIVO</t>
  </si>
  <si>
    <t xml:space="preserve">    PATRIMONIO NETO Y PASIVO</t>
  </si>
  <si>
    <t>PATRIMONIO NETO</t>
  </si>
  <si>
    <t>Fondos propios</t>
  </si>
  <si>
    <t>Capital</t>
  </si>
  <si>
    <t>Capital escriturado</t>
  </si>
  <si>
    <t>(Capital no exigido)</t>
  </si>
  <si>
    <t>Prima de emisión</t>
  </si>
  <si>
    <t>Reservas</t>
  </si>
  <si>
    <t>Legal y estatutarias</t>
  </si>
  <si>
    <t>Otras reservas</t>
  </si>
  <si>
    <t>Reserva de revalorización</t>
  </si>
  <si>
    <t>Reserva de capitalización</t>
  </si>
  <si>
    <t>(Acciones y participaciones en patrimonio propias)</t>
  </si>
  <si>
    <t>Resultados de ejercicios anteriores</t>
  </si>
  <si>
    <t>Remanente</t>
  </si>
  <si>
    <t>(Resultados negativos de ejercicios anteriores)</t>
  </si>
  <si>
    <t>Otras aportaciones de socios</t>
  </si>
  <si>
    <t>Resultado del ejercicio</t>
  </si>
  <si>
    <t>VIII.</t>
  </si>
  <si>
    <t>(Dividendo a cuenta)</t>
  </si>
  <si>
    <t>IX.</t>
  </si>
  <si>
    <t>Otros instrumentos de patrimonio neto</t>
  </si>
  <si>
    <t>Ajustes por cambios de valor</t>
  </si>
  <si>
    <t>Activos financieros disponibles para la venta</t>
  </si>
  <si>
    <t>Operaciones de cobertura</t>
  </si>
  <si>
    <t>Activos no corrientes y pasivos vinculados, mantenidos para la venta</t>
  </si>
  <si>
    <t>Diferencia de conversión</t>
  </si>
  <si>
    <t>Otros</t>
  </si>
  <si>
    <t>Subvenciones, donaciones y legados recibidos</t>
  </si>
  <si>
    <t xml:space="preserve">B) </t>
  </si>
  <si>
    <t>PASIVO NO CORRIENTE</t>
  </si>
  <si>
    <t>Provisiones a largo plazo</t>
  </si>
  <si>
    <t>Obligaciones por prestaciones a largo plazo al personal</t>
  </si>
  <si>
    <t>Actuaciones medioambientales</t>
  </si>
  <si>
    <t>Provisiones por reestructuración</t>
  </si>
  <si>
    <t>Otras provisiones</t>
  </si>
  <si>
    <t>Deudas a largo plazo</t>
  </si>
  <si>
    <t>Obligaciones y otros valores negociales</t>
  </si>
  <si>
    <t>Deudas con entidades de crédito</t>
  </si>
  <si>
    <t>Acreedores por arrendamiento financiero</t>
  </si>
  <si>
    <t>Otros pasivos financieros</t>
  </si>
  <si>
    <t>Otros pasivos financieros por deudas transformables en subvenciones a largo plazo (cta. 172)</t>
  </si>
  <si>
    <t>Otros pasivos financieros a largo plazo (resto)</t>
  </si>
  <si>
    <t>Deudas con empresas del grupo y asociadas a largo plazo</t>
  </si>
  <si>
    <t>Pasivos por impuesto diferido</t>
  </si>
  <si>
    <t>Pasivo por impuesto diferido por el efecto impositivo de las subvenciones de capital</t>
  </si>
  <si>
    <t>Pasivo por impuesto diferido, otros</t>
  </si>
  <si>
    <t>Periodificaciones a largo plazo</t>
  </si>
  <si>
    <t>Acreedores comerciales no corrientes</t>
  </si>
  <si>
    <t>Deuda con características especiales a largo plazo</t>
  </si>
  <si>
    <t>C)</t>
  </si>
  <si>
    <t>PASIVO CORRIENTE</t>
  </si>
  <si>
    <t>Pasivos vinculados con activos no corrientes mantenidos para la venta</t>
  </si>
  <si>
    <t>Provisiones a corto plazo</t>
  </si>
  <si>
    <t>Provisiones por derechos de emisión de gases de efecto invernadero</t>
  </si>
  <si>
    <t>Deudas a corto plazo</t>
  </si>
  <si>
    <t>Obligaciones y otros valores negociables</t>
  </si>
  <si>
    <t>Otros pasivos financieros por deudas transformables en subvenciones a corto plazo (cta. 522)</t>
  </si>
  <si>
    <t>Otros pasivos financieros a corto plazo (resto)</t>
  </si>
  <si>
    <t>Deudas con empresas del grupo y asociadas a corto plazo</t>
  </si>
  <si>
    <t>Acreedores comerciales y otras cuentas a pagar</t>
  </si>
  <si>
    <t>Proveedores</t>
  </si>
  <si>
    <t>Proveedores a largo plazo</t>
  </si>
  <si>
    <t>Proveedores a corto plazo</t>
  </si>
  <si>
    <t>Proveedores, empresas del grupo y asociadas</t>
  </si>
  <si>
    <t>Acreedores varios</t>
  </si>
  <si>
    <t>Personal (remuneraciones pendientes de pago)</t>
  </si>
  <si>
    <t>Pasivos por impuesto corriente</t>
  </si>
  <si>
    <t>Otras deudas con las Administraciones Públicas</t>
  </si>
  <si>
    <t>Excmo. Cabildo Insular de Tenerife, acreedor por subvenciones a reintegrar</t>
  </si>
  <si>
    <t>Resto de otras deudas con las administraciones públicas</t>
  </si>
  <si>
    <t>Anticipos de clientes</t>
  </si>
  <si>
    <t>Deudas con características especiales a corto plazo</t>
  </si>
  <si>
    <t>TOTAL PATRIMONIO NETO Y PASIVO (A+B+C)</t>
  </si>
  <si>
    <t>FC-4 - PASIVO Y PATRIMONIO NETO</t>
  </si>
  <si>
    <t>MOVIMIENTO DE FONDOS PROPIOS</t>
  </si>
  <si>
    <t xml:space="preserve">    MOVIMIENTO DE FONDOS PROPIOS</t>
  </si>
  <si>
    <t>Saldo 31-12</t>
  </si>
  <si>
    <t>Aumento</t>
  </si>
  <si>
    <t>Disminución</t>
  </si>
  <si>
    <t>Distribución de</t>
  </si>
  <si>
    <t>Gastos/Ingresos</t>
  </si>
  <si>
    <t>Rtdo. Ejercicio</t>
  </si>
  <si>
    <t>Saldo final 31-12</t>
  </si>
  <si>
    <t>Aportaciones Socios</t>
  </si>
  <si>
    <t>Resultado</t>
  </si>
  <si>
    <t>cargo/abono a reservas</t>
  </si>
  <si>
    <t>y otras Variaciones</t>
  </si>
  <si>
    <t>Notas explicativas</t>
  </si>
  <si>
    <t>Distribución de dividendos en el ejercicio</t>
  </si>
  <si>
    <t>Resto de accionistas / socios</t>
  </si>
  <si>
    <t>FC-4.1 -MOVIMIENTO DE FONDOS PROPIOS</t>
  </si>
  <si>
    <t>ESTADO DE FLUJOS DE EFECTIVO</t>
  </si>
  <si>
    <t>A) FLUJOS DE EFECTIVO DE LAS ACTIVIDADES DE EXPLOTACIÓN</t>
  </si>
  <si>
    <t>1. Resultado del ejercicio antes de impuestos</t>
  </si>
  <si>
    <t>2. Ajustes del resultado</t>
  </si>
  <si>
    <t>a) Amortización del inmovilizado (+)</t>
  </si>
  <si>
    <t>b) Correcciones valorativas por deterioro (+/-)</t>
  </si>
  <si>
    <t>c) Variaciones de provisiones (+/-)</t>
  </si>
  <si>
    <t>d) Imputación de subvenciones (-)</t>
  </si>
  <si>
    <t>e) Resultados por bajas y enajenaciones del inmovilizado (+/-)</t>
  </si>
  <si>
    <t>f) Resultados por bajas y enajenaciones de instrumentos financieros (+/-)</t>
  </si>
  <si>
    <t>g) Ingresos financieros (-)</t>
  </si>
  <si>
    <t>h) Gastos financieros (+)</t>
  </si>
  <si>
    <t>i) Diferencias de cambio (+/-)</t>
  </si>
  <si>
    <t>j) Variación de valor razonable en instrumentos financieros (+/-)</t>
  </si>
  <si>
    <t>k) Otros ingresos y gastos (-/+)</t>
  </si>
  <si>
    <t>3. Cambios en el capital corriente</t>
  </si>
  <si>
    <t>a) Existencias (+/-)</t>
  </si>
  <si>
    <t>b) Deudores y otras cuentas a cobrar (+/-)</t>
  </si>
  <si>
    <t>c) Otros activos corrientes (+/-)</t>
  </si>
  <si>
    <t>d) Acreedores y otras cuentas a pagar (+/-)</t>
  </si>
  <si>
    <t>e) Otros pasivos corrientes (+/-)</t>
  </si>
  <si>
    <t>f) Otros activos y pasivos no corrientes (+/-)</t>
  </si>
  <si>
    <t>4. Otros flujos de efectivo de las actividades de explotación</t>
  </si>
  <si>
    <t>a) Pagos de intereses (-)</t>
  </si>
  <si>
    <t>b) Cobro de dividendos (+)</t>
  </si>
  <si>
    <t>c) Cobro de intereses (+)</t>
  </si>
  <si>
    <t>d) Cobros (pagos) por impuesto sobre beneficios (+/-)</t>
  </si>
  <si>
    <t>e) Otros pagos (cobros) (-/+)</t>
  </si>
  <si>
    <t>5. Flujos de efectivo de las actividades de explotación ( 1 + 2 + 3 + 4 )</t>
  </si>
  <si>
    <t>B) FLUJOS DE EFECTIVO DE LAS ACTIVIDADES DE INVERSIÓN</t>
  </si>
  <si>
    <t>6. Pagos por inversiones (-)</t>
  </si>
  <si>
    <t>a) Empresas del grupo y asociadas</t>
  </si>
  <si>
    <t>b) Inmovilizado intangible</t>
  </si>
  <si>
    <t>c) Inmovilizado material</t>
  </si>
  <si>
    <t>d) Inversiones inmobiliarias</t>
  </si>
  <si>
    <t>e) Otros activos financieros</t>
  </si>
  <si>
    <t>f) Activos no corrientes mantenidos para la venta</t>
  </si>
  <si>
    <t>g) Unidades de negocio</t>
  </si>
  <si>
    <t>h) Otros activos</t>
  </si>
  <si>
    <t>7. Cobros por desinversiones (+)</t>
  </si>
  <si>
    <t>8. Flujos de efectivo de las actividades de inversión ( 6 +7 )</t>
  </si>
  <si>
    <t>C) FLUJOS DE EFECTIVO DE LAS ACTIVIDADES DE FINANCIACIÓN</t>
  </si>
  <si>
    <t>9. Cobros y pagos por instrumentos financieros</t>
  </si>
  <si>
    <t>a) Emisión de instrumentos de patrimonio (+)</t>
  </si>
  <si>
    <t>(Aportación de socios)</t>
  </si>
  <si>
    <t>b) Amortización de instrumentos de patrimonio (-)</t>
  </si>
  <si>
    <r>
      <t>c) Adquisición de instrumentos de patrimonio propio (</t>
    </r>
    <r>
      <rPr>
        <sz val="12"/>
        <color indexed="8"/>
        <rFont val="Arial"/>
        <family val="2"/>
      </rPr>
      <t>-</t>
    </r>
    <r>
      <rPr>
        <sz val="12"/>
        <color indexed="8"/>
        <rFont val="Arial"/>
        <family val="2"/>
      </rPr>
      <t>)</t>
    </r>
  </si>
  <si>
    <t>d) Enajenación de instrumentos de patrimonio propio (+)</t>
  </si>
  <si>
    <t>e) Subvenciones, donaciones y legados recibidos (+)</t>
  </si>
  <si>
    <t>f) Reintegro de subvenciones, donaciones y legados de capital (-)</t>
  </si>
  <si>
    <t>10. Cobros y pagos por instrumentos de pasivo financiero</t>
  </si>
  <si>
    <t>a) Emisión</t>
  </si>
  <si>
    <t>1. Obligaciones y otros valores negociables (+)</t>
  </si>
  <si>
    <t>2. Deudas con entidades de crédito (+)</t>
  </si>
  <si>
    <t>3. Deudas con empresas del grupo y asociadas (+)</t>
  </si>
  <si>
    <t>4. Deudas con características especiales (+)</t>
  </si>
  <si>
    <t>5. Otras deudas (+)</t>
  </si>
  <si>
    <t>b) Devolución y amortización de</t>
  </si>
  <si>
    <t>1. Obligaciones y otros valores negociables (-)</t>
  </si>
  <si>
    <t>2. Deudas con entidades de crédito (-)</t>
  </si>
  <si>
    <t>3. Deudas con empresas del grupo y asociadas (-)</t>
  </si>
  <si>
    <t>4. Deudas con características especiales (-)</t>
  </si>
  <si>
    <t>5. Otras deudas (-)</t>
  </si>
  <si>
    <t>11. Pagos por dividendos y remuneraciones de otros instrumentos de patrimonio</t>
  </si>
  <si>
    <t>a) Dividendos (-)</t>
  </si>
  <si>
    <t>b) Remuneración de otros instrumentos de patrimonio (-)</t>
  </si>
  <si>
    <t>12. Flujos de efectivo de las actividades de financiación ( 9 + 10 + 11)</t>
  </si>
  <si>
    <t>D) EFECTO DE LAS VARIACIONES DE LOS TIPOS DE CAMBIO</t>
  </si>
  <si>
    <t>E) AUMENTO / DISMINUCIÓN NETA DEL EFECTIVO O EQUIVALENTES  ( 5+8+12+D )</t>
  </si>
  <si>
    <t>Efectivo o equivalentes al comienzo del ejercicio  (1)</t>
  </si>
  <si>
    <t>Efectivo o equivalentes al final del ejercicio</t>
  </si>
  <si>
    <t>NOTAS:</t>
  </si>
  <si>
    <r>
      <rPr>
        <sz val="10"/>
        <color indexed="8"/>
        <rFont val="Arial"/>
        <family val="2"/>
      </rPr>
      <t xml:space="preserve">(1) Los datos están referenciados al Activo del Balance de Situación, excepto el dato inicial del periodo n-2 que </t>
    </r>
    <r>
      <rPr>
        <b/>
        <u/>
        <sz val="10"/>
        <color indexed="8"/>
        <rFont val="Arial"/>
        <family val="2"/>
      </rPr>
      <t>debe indicarse manualmente en la celda G95</t>
    </r>
  </si>
  <si>
    <t>FC-5</t>
  </si>
  <si>
    <t>INVERSIONES REALES (1)</t>
  </si>
  <si>
    <t>Código</t>
  </si>
  <si>
    <t>Denominación</t>
  </si>
  <si>
    <t>Año inicial</t>
  </si>
  <si>
    <t xml:space="preserve">Año fin </t>
  </si>
  <si>
    <t>Coste total (2)</t>
  </si>
  <si>
    <t>Ejecución prevista</t>
  </si>
  <si>
    <t>Programación Plurianual (3)</t>
  </si>
  <si>
    <t>Previsión de importes comprometidos a 31 de diciembre de</t>
  </si>
  <si>
    <t>(4)</t>
  </si>
  <si>
    <t>(Seleccionar el año de la lista desplegable)</t>
  </si>
  <si>
    <t>hasta 31 diciembre</t>
  </si>
  <si>
    <t>Resto</t>
  </si>
  <si>
    <t>Control de acceso MERCATENERIFE</t>
  </si>
  <si>
    <t>Accesibilidad a las cafeterías</t>
  </si>
  <si>
    <t>Interior edificio administrativo (planta 3 y mitad planta 2)</t>
  </si>
  <si>
    <t>Preparación aula visitas escolares</t>
  </si>
  <si>
    <t>Señalética de todo el recinto y seguridad vial</t>
  </si>
  <si>
    <t>Cambio cubiertas Naves 1, 2 ,Edificio Administrativo y Nave Producto local</t>
  </si>
  <si>
    <t>Pintura y adecentamiento del Complejo A y Naves 1 y 2</t>
  </si>
  <si>
    <t>Canales y recogida de pluviales en Nave de Producto Local</t>
  </si>
  <si>
    <t>Oficinas GMR</t>
  </si>
  <si>
    <t>Luminarias zonas comunes Nave 1,Nave 2, Complejo A, Marquesina</t>
  </si>
  <si>
    <t>Cambio de red subterránea general (anillo de abastecimiento)</t>
  </si>
  <si>
    <t>Nave Producto Local (puestos cerrados)</t>
  </si>
  <si>
    <t>Inversión para volteadoras y rehubicación de punto limpio</t>
  </si>
  <si>
    <t>Báscula</t>
  </si>
  <si>
    <t>Asfaltado viales de salida</t>
  </si>
  <si>
    <t xml:space="preserve"> </t>
  </si>
  <si>
    <t>Cubiertas Complejo A</t>
  </si>
  <si>
    <t>Asfaltado viales de entrada</t>
  </si>
  <si>
    <t>TOTALES</t>
  </si>
  <si>
    <t xml:space="preserve">(1)  Se incluiran todos los proyectos de inversión que se realicen en el ejercicio </t>
  </si>
  <si>
    <t>, así como los que está previsto realizar en los tres ejercicios siguientes.</t>
  </si>
  <si>
    <t xml:space="preserve">       Aquellos proyectos de inversión cuyos importe sean de escasa importancia en relación al volumen total de inversiones, podrán agruparse en uno o varios proyectos genéricos</t>
  </si>
  <si>
    <t xml:space="preserve">(2)  El coste total de cada inversión se desglosará entre el importe que se prevé ejecutar hasta    31 / dic / </t>
  </si>
  <si>
    <t>, y la programación plurianual</t>
  </si>
  <si>
    <t>(3)  Estimación de los importes de inversión que se ejecutarán en cada uno de los ejercicios.</t>
  </si>
  <si>
    <r>
      <t xml:space="preserve">(4)  Se detallarán los importes comprometidos, es decir, las inversiones que estén </t>
    </r>
    <r>
      <rPr>
        <b/>
        <u/>
        <sz val="12"/>
        <rFont val="Arial"/>
        <family val="2"/>
      </rPr>
      <t>adjudicadas</t>
    </r>
    <r>
      <rPr>
        <sz val="12"/>
        <color indexed="8"/>
        <rFont val="Arial"/>
        <family val="2"/>
      </rPr>
      <t xml:space="preserve"> a 31 / dic /</t>
    </r>
  </si>
  <si>
    <t>, desglosandolos por los ejercicios en los que se prevé realizar la inversión.</t>
  </si>
  <si>
    <t>FC-6</t>
  </si>
  <si>
    <t>INVERSIONES NO FINANCIERAS. Variaciones del inmovilizado y existencias</t>
  </si>
  <si>
    <r>
      <t xml:space="preserve">Saldo inicial </t>
    </r>
    <r>
      <rPr>
        <b/>
        <sz val="9"/>
        <color indexed="8"/>
        <rFont val="Arial"/>
        <family val="2"/>
      </rPr>
      <t>(1)</t>
    </r>
  </si>
  <si>
    <t>Variaciones</t>
  </si>
  <si>
    <r>
      <t xml:space="preserve">Saldo final </t>
    </r>
    <r>
      <rPr>
        <b/>
        <sz val="9"/>
        <color indexed="8"/>
        <rFont val="Arial"/>
        <family val="2"/>
      </rPr>
      <t>(9)</t>
    </r>
  </si>
  <si>
    <t>OBSERVACIONES (11)</t>
  </si>
  <si>
    <t xml:space="preserve"> I. Estimación</t>
  </si>
  <si>
    <t>(+)Adquisiciones      (2)</t>
  </si>
  <si>
    <t>(+/-)Provisión por desmantelamiento (3)</t>
  </si>
  <si>
    <t>(+)Intereses capitalizados          (4)</t>
  </si>
  <si>
    <t>(-)Amortización del ejercicio                    (5)</t>
  </si>
  <si>
    <t>(+/-)Deterioro o Reversión del deterioro                   (6)</t>
  </si>
  <si>
    <t>(-) Ventas                   (7)</t>
  </si>
  <si>
    <t>(+/-) Otras variaciones (especificar en observaciones) (8)</t>
  </si>
  <si>
    <t>Precio de venta de las enajenaciones (10)</t>
  </si>
  <si>
    <t xml:space="preserve">  Inmovilizado Intangible</t>
  </si>
  <si>
    <t xml:space="preserve">  Inmovilizado material (terrenos)</t>
  </si>
  <si>
    <t xml:space="preserve">  Inmovilizado material (excepto terrenos)</t>
  </si>
  <si>
    <t xml:space="preserve">  Inversiones inmobiliarias (terrenos)</t>
  </si>
  <si>
    <t xml:space="preserve">  Inversiones inmobiliarias (excepto terrenos)</t>
  </si>
  <si>
    <t>TOTAL</t>
  </si>
  <si>
    <t xml:space="preserve">  Existencias</t>
  </si>
  <si>
    <t>II. Previsión</t>
  </si>
  <si>
    <t xml:space="preserve">(1)  SALDO INICIAL: Saldo del valor neto contable recogido en balance a 1 de enero del ejercicio al que esté referido el período </t>
  </si>
  <si>
    <t>(2)  ADQUISICIONES: El importe facturado por el proveedor y otros importes (portes ...) incorporados como mayor valor del activo, salvo los recogidos en las columnas (3) y (4).</t>
  </si>
  <si>
    <t>(3)  PROVISIÓN POR DESMANTELAMIENTO: Se reflejará, con signo positivo o negativo según proceda, el importe de la provisión por desmantelamiento y las posteriores correcciones a la misma dotadas como mayor (o menor) valor del inmovilizado.</t>
  </si>
  <si>
    <t>(4)  INTERESES CAPITALIZADOS: Se reflejará, con signo positivo, el importe de los intereses incorporados como mayor valor del activo.</t>
  </si>
  <si>
    <t>(5)  AMORTIZACIÓN DEL EJERCICIO: se reflejará, con signo negativo, el importe de la amortización dotada en el ejercicio. En su caso, con signo positivo, las correcciones a la amortización acumulada</t>
  </si>
  <si>
    <t>(6)  DETERIORO O REVERSIÓN DEL DETERIORO: se reflejará, con signo negativo, el deterioro contabilizado en el ejercicio. Con signo positivo figurarán los excesos de deterioro que se produzcan.</t>
  </si>
  <si>
    <t>(7)  VENTAS: recoge el valor neto contable de las activos enajenados.</t>
  </si>
  <si>
    <t>(8)  OTRAS VARIACIONES: deben reflejarse el resto de variaciones, distintas de las anteriores, que impliquen un mayor o menor valor de las activos.</t>
  </si>
  <si>
    <t>(9)  SALDO FINAL: Saldo recogido en balance a 31 de diciembre del ejercicio al que está referidas las cuentas anuales.</t>
  </si>
  <si>
    <t>(10)  PRECIO DE VENTA DE LAS ENAJENACIONES: Precio obtenido de la venta de los elementos de inmovilizado dados de baja en el ejercicio.</t>
  </si>
  <si>
    <t>(11)  OBSERVACIONES: se recogera cualquier otra información que se considere relevante relativa a cada operación.</t>
  </si>
  <si>
    <t>FC-7</t>
  </si>
  <si>
    <t>INVERSIONES FINANCIERAS. Variación de las inversiones financieras e instrumentos de patrimonio.</t>
  </si>
  <si>
    <t>I. INVERSIONES EN EMPRESAS DEL GRUPO Y ASOCIADAS (1)</t>
  </si>
  <si>
    <t>Saldo inicial</t>
  </si>
  <si>
    <t>Porcentaje</t>
  </si>
  <si>
    <t>Dividendo</t>
  </si>
  <si>
    <t>OBSERVACIONES (3)</t>
  </si>
  <si>
    <t>Entidad beneficiaria</t>
  </si>
  <si>
    <t>de balance</t>
  </si>
  <si>
    <t>Adquisiciones</t>
  </si>
  <si>
    <t>Enajenaciones o reembolsos de préstamos concedidos</t>
  </si>
  <si>
    <t>Pérdidas de valor y otros</t>
  </si>
  <si>
    <t>Participación (2)</t>
  </si>
  <si>
    <t>INVERSIONES EN INSTRUMENTOS DE PATRIMONIO (4)</t>
  </si>
  <si>
    <t>RESTO DE INVERSIONES (5)</t>
  </si>
  <si>
    <t>Contratación IPF SEPI</t>
  </si>
  <si>
    <t>II. INVERSIONES EN OTRAS EMPRESAS (6)</t>
  </si>
  <si>
    <t>OBSERVACIONES (8)</t>
  </si>
  <si>
    <t>Participación (7)</t>
  </si>
  <si>
    <t>INVERSIONES EN INSTRUMENTOS DE PATRIMONIO (9)</t>
  </si>
  <si>
    <t>RESTO DE INVERSIONES (10)</t>
  </si>
  <si>
    <t>Fianzas Endesa, Avales, Caja Rural</t>
  </si>
  <si>
    <t>(1) INVERSIONES: Inclyue las inversiones financieras, tanto a largo como a corto plazo, que la entidad realiza en entidades del grupo y asociadas con independencia de que la empresa tenga la intención de venderlos en el corto plazo.</t>
  </si>
  <si>
    <t>(2) % PARTICIPACION: poncentaje total de participación que, al final del ejercicio, la entidad posee en la sociedad del grupo o asociada.</t>
  </si>
  <si>
    <t>(3) OBSERVACIONES: se recogera cualquier otra información que se considere relevante relativa a cada operación. En particular, se señalará el importe de los desembolsos pendientes en instrumentos de patrimonio.</t>
  </si>
  <si>
    <t>(4) INVERSIONES EN INSTRUMENTOS DE PATRIMONIO: recoge las inversiones a corto o largo plazo en derechos sobre el patrimonio neto tales como acciones con o sin cotización oficial y otros valores en empresas del grupo o asociadas.</t>
  </si>
  <si>
    <t>(5) RESTO DE INVERSIONES: se incluyen en este apartado el importe de los valores representativos de deuda así como los créditos, tanto a largo como a corto plazo, en entidades del grupo y asociadas.</t>
  </si>
  <si>
    <t>(6) INVERSIONES: Inclyue las inversiones financieras, tanto a largo como a corto plazo, que la entidad realiza en entidades QUE NO SON del grupo NI asociadas con independencia de que la empresa tenga la intención de venderlos en el corto plazo.</t>
  </si>
  <si>
    <t>(7) % PARTICIPACION: porcentaje total de participación que, al final del ejercicio, la entidad posee en la sociedad.</t>
  </si>
  <si>
    <t>(8) OBSERVACIONES: se recogera cualquier otra información que se considere relevante relativa a cada operación. En particular, se señalará el importe de los desembolsos pendientes en instrumentos de patrimonio.</t>
  </si>
  <si>
    <t>(9) INVERSIONES EN INSTRUMENTOS DE PATRIMONIO: recoge las inversiones a corto o largo plazo en derechos sobre el patrimonio neto tales como acciones con o sin cotización oficial y otros valores en empresas QUE NO SON del grupo  NI asociadas.</t>
  </si>
  <si>
    <t>(10) RESTO DE INVERSIONES: se incluyen en este apartado el importe de los valores representativos de deuda así como los créditos, tanto a largo como a corto plazo, en entidades QUE NO SON del grupo  NI asociadas.</t>
  </si>
  <si>
    <t>FC-8</t>
  </si>
  <si>
    <t>SUBVENCIONES Y TRANSFERENCIAS (1)</t>
  </si>
  <si>
    <t>I. SUBVENCIONES Y TRANSFERENCIAS.</t>
  </si>
  <si>
    <t>I.1. SUBVENCIONES DE CAPITAL</t>
  </si>
  <si>
    <t>Ente</t>
  </si>
  <si>
    <t>DATOS SEGÚN CRITERIOS DE CONTABILIDAD DE LA ENTIDAD (2)</t>
  </si>
  <si>
    <t>DATOS SEGÚN CRITERIOS ECIT</t>
  </si>
  <si>
    <t>Descripción</t>
  </si>
  <si>
    <t>( Si es "Otros" especificar a la derecha el Ente emisor)</t>
  </si>
  <si>
    <t xml:space="preserve">Importe total </t>
  </si>
  <si>
    <t>y OTRAS ADM. PÚBLICAS (3)</t>
  </si>
  <si>
    <t>Ejercicio</t>
  </si>
  <si>
    <t>Subvención</t>
  </si>
  <si>
    <t>Ctas. 130-131-132</t>
  </si>
  <si>
    <t>Cuenta 479</t>
  </si>
  <si>
    <t>ÁREA</t>
  </si>
  <si>
    <t>PROG.</t>
  </si>
  <si>
    <t>ECON.</t>
  </si>
  <si>
    <t>Otorgamiento</t>
  </si>
  <si>
    <t>TOTAL SUBVENCIONES DE CAPITAL NO REINTEGRABLES</t>
  </si>
  <si>
    <t>Menos imputación de subvenciones al resultado del ejercicio</t>
  </si>
  <si>
    <t>SALDO FINAL DE SUBVENCIONES, DONACIONES Y LEGADOS</t>
  </si>
  <si>
    <t>Subv. de capital concedidas por el Cabildo</t>
  </si>
  <si>
    <t>Subv. de capital concedidas por Unidades dependientes del Cabildo</t>
  </si>
  <si>
    <t>Subv. de capital concedidas por la Unión Europea</t>
  </si>
  <si>
    <t>Subv. de capital concedidas por otras Administraciones y Entes públicos</t>
  </si>
  <si>
    <t>I.2. SUBVENCIONES DE EXPLOTACIÓN.</t>
  </si>
  <si>
    <t>DATOS SEGÚN CRITERIOS CONTABILIDAD ENTIDAD (4)</t>
  </si>
  <si>
    <t>DATOS SEGÚN CRITERIOS ECIT y OTRAS ADM. PÚBLICAS (5)</t>
  </si>
  <si>
    <t>TOTAL SUBVENCIONES DE EXPLOTACIÓN NO REINTEGRABLES</t>
  </si>
  <si>
    <t>Subv. de explotación concedidas por el Cabildo</t>
  </si>
  <si>
    <t>Subv. de explotación concedidas por Unidades dependientes del Cabildo</t>
  </si>
  <si>
    <t>Subv. de explotación concedidas por la Unión Europea</t>
  </si>
  <si>
    <t>Subv. de explotación concedidas por otras Administraciones y Entes públicos</t>
  </si>
  <si>
    <t>II. APORTACIONES DE SOCIOS.</t>
  </si>
  <si>
    <t>DATOS SEGÚN CRITERIOS CONTABILIDAD ENTIDAD (6)</t>
  </si>
  <si>
    <t>DATOS SEGÚN CRITERIOS ECIT y OTRAS ADM. PÚBLICAS (7)</t>
  </si>
  <si>
    <t>Importe total aportación</t>
  </si>
  <si>
    <t>Cuenta 118</t>
  </si>
  <si>
    <t>Cuenta 740</t>
  </si>
  <si>
    <t xml:space="preserve">TOTAL CONCEDIDAS </t>
  </si>
  <si>
    <t>Aportaciones genéricas concedidas por el Cabildo</t>
  </si>
  <si>
    <r>
      <t>III. EMISIÓN DE INSTRUMENTOS DE PATRIMONIO PROPIO.</t>
    </r>
    <r>
      <rPr>
        <b/>
        <sz val="12"/>
        <color indexed="10"/>
        <rFont val="Arial"/>
        <family val="2"/>
      </rPr>
      <t xml:space="preserve"> </t>
    </r>
    <r>
      <rPr>
        <b/>
        <sz val="12"/>
        <rFont val="Arial"/>
        <family val="2"/>
      </rPr>
      <t>(8)</t>
    </r>
  </si>
  <si>
    <t>Ejercicio otorgamiento</t>
  </si>
  <si>
    <t>TOTAL EMISIÓN</t>
  </si>
  <si>
    <t>NOTAS ACLARATORIAS DE LA ENTIDAD</t>
  </si>
  <si>
    <t>NOTA:</t>
  </si>
  <si>
    <r>
      <t xml:space="preserve">(1) Se incluiran en este cuadro todas las aportaciones y subvenciones recibidos del Excmo. Cabildo Insular de Tenerife y de cualquier otras administración pública ó ente privado. Debe detallarse cada subvención o aportación de forma nominativa y </t>
    </r>
    <r>
      <rPr>
        <b/>
        <sz val="9"/>
        <color indexed="8"/>
        <rFont val="Arial"/>
        <family val="2"/>
      </rPr>
      <t>según ha sido denominada por la Entidad otorgante.</t>
    </r>
  </si>
  <si>
    <t xml:space="preserve">      Las aportaciones específicas, de capital o corrientes, deben expresarse de forma individalizada, sin agrupar varias aportaciones, ni desagregar una aportación individual única en varias.</t>
  </si>
  <si>
    <t xml:space="preserve">(2) Se deben incluir los movimientos contables en la entidad/sociedad, estimados y previsibles, correspondientes a las subvenciones de capital registradas en las cuentas 130,131 y 132, y de forma separada. su efecto impositivo registrado en la cuenta 479 </t>
  </si>
  <si>
    <t xml:space="preserve">      (efecto impositivo clasificado  en el pasivo del balance en el epígrafe B) IV) . El saldo final de esta partida debe cuadrar con la indicada en el epígrafe A3 del patrimonio neto del balance estimado y previsto.</t>
  </si>
  <si>
    <t xml:space="preserve">(3) Se deben incluir de forma detallada todas las subvenciones de capital otorgadas por el Excmo. Cabildo Insular de Tenerife y cualquier otra administración pública, clasificando el importe según el año en que dichas administraciones estimen o prevean </t>
  </si>
  <si>
    <t xml:space="preserve">      otorgar dichas subvenciones. Es decir, la información y su clasificación por ejercicios económicos vendrá dada por el criterio contable de la administración pública otorgante. Si ambos criterios son coincidentes se pondrán idénticas cifras.</t>
  </si>
  <si>
    <t xml:space="preserve">      Como ejemplo se incluiran en este bloque las subvenciones de capital otorgadas a la entidad que no se han contabilizado en las cuentas de Patrimonio Neto de la entidad/sociedad, a la espera de que se verifiquen las condiciones</t>
  </si>
  <si>
    <t xml:space="preserve">      de la subvención.</t>
  </si>
  <si>
    <t>(4) Importes estimados y previsibles a registrar por la entidad en la cuenta contable 740. Subvenciones, donaciones y legados de explotación. El importe total debe coincidir con las cifras del epígrafe 5.b de la cuenta de pérdidas y ganancias</t>
  </si>
  <si>
    <t>(5) Se indicaran los importes de las subvenciones de explotación estimadas o previsibles otorgadas por el Excmo. Cabildo Insular de Tenerife (Anexo IV) y otros organismos de acuerdo a sus criterios de imputación contable. Si los criterios de la administración</t>
  </si>
  <si>
    <t xml:space="preserve">       pública que otorgara la subvención y la entidad/sociedad son coincidentes, deben indicarse idénticas cifras en ambos cuadros.</t>
  </si>
  <si>
    <t>(6) Se indicarán los importes de las aportaciones de socios estimadas y previsibles que se registran en la cuenta contable 118 y que se recogen en el epígrafe A1) VI. del patrimonio neto del balance.</t>
  </si>
  <si>
    <r>
      <t xml:space="preserve">(7) Se indicarán los importes de las </t>
    </r>
    <r>
      <rPr>
        <sz val="9"/>
        <rFont val="Arial"/>
        <family val="2"/>
      </rPr>
      <t>aportaciones genéricas</t>
    </r>
    <r>
      <rPr>
        <sz val="9"/>
        <color indexed="8"/>
        <rFont val="Arial"/>
        <family val="2"/>
      </rPr>
      <t xml:space="preserve"> estimadas y previsibles otorgadas por el Excmo. Cabildo Insular de Tenerife (Anexo III) o cualquier otro socio, de acuerdo a su criterio de imputación contable. Si los criterios son coincidentes, deben</t>
    </r>
  </si>
  <si>
    <t xml:space="preserve">       indicarse idénticas cifras en ambos cuadros.</t>
  </si>
  <si>
    <t>(8) Emisión de instrumentos de patrimonio. Se refiere a aumentos de capital adicionándole, en su caso, los importes de las primas de emisión estimadas o previsibles. Deben detallarse los suscriptores de dicho aumento, ascendiendo su total al</t>
  </si>
  <si>
    <t xml:space="preserve">      importe total de la ampliación de capital + prima de emisión.</t>
  </si>
  <si>
    <t>FC-9</t>
  </si>
  <si>
    <t>Para el desplegable de "SUBVENCIONES DE CAPITAL y EXPLOTACIÓN".</t>
  </si>
  <si>
    <t>Otros - Unidad dependiente del Cabildo</t>
  </si>
  <si>
    <t>Otros - Unión Europea</t>
  </si>
  <si>
    <t>Otros - De otras Administraciones y Entes públicos</t>
  </si>
  <si>
    <t>DEUDAS A CORTO Y LARGO PLAZO</t>
  </si>
  <si>
    <t xml:space="preserve">III. OTROS PASIVOS FINANCIEROS A CORTO y LARGO PLAZO </t>
  </si>
  <si>
    <t>DEUDAS TRANSFORMABLES EN SUBVENCIONES / SUBVENCIONES REINTEGRABLES.</t>
  </si>
  <si>
    <t>Tipo de</t>
  </si>
  <si>
    <t xml:space="preserve">Descripción de </t>
  </si>
  <si>
    <t>Compromiso</t>
  </si>
  <si>
    <t>Fecha máx.</t>
  </si>
  <si>
    <t>Entidad</t>
  </si>
  <si>
    <t>Importe inicial</t>
  </si>
  <si>
    <t>(7) Saldo 31-12</t>
  </si>
  <si>
    <t xml:space="preserve">(8) Altas (Comprometidas) </t>
  </si>
  <si>
    <t>(9) Bajas (Anulación)</t>
  </si>
  <si>
    <t xml:space="preserve">Clasificación </t>
  </si>
  <si>
    <t>Aportación (1)</t>
  </si>
  <si>
    <t>la aportación (2)</t>
  </si>
  <si>
    <t>para anualidad:</t>
  </si>
  <si>
    <t>justificación (4)</t>
  </si>
  <si>
    <t>otorgante (5)</t>
  </si>
  <si>
    <t>Comprometido (6)</t>
  </si>
  <si>
    <t>corto plazo (522)</t>
  </si>
  <si>
    <t>largo plazo (172)</t>
  </si>
  <si>
    <t>Año de</t>
  </si>
  <si>
    <t xml:space="preserve">(8) Altas (Concedidas) </t>
  </si>
  <si>
    <t>(9) Bajas (Reintegro)</t>
  </si>
  <si>
    <t>(10) Traspaso  (No reintegrables)</t>
  </si>
  <si>
    <t>Concesión (3)</t>
  </si>
  <si>
    <t>Concedido (6)</t>
  </si>
  <si>
    <t>Corriente</t>
  </si>
  <si>
    <t>SUBTOTAL SUBVENCIONES REINTEGRABLES  (11)</t>
  </si>
  <si>
    <t>Aportaciones corrientes</t>
  </si>
  <si>
    <t>ejercicios anteriores</t>
  </si>
  <si>
    <t>Aportaciones de capital</t>
  </si>
  <si>
    <t>TOTAL SUBVENCIONES REINTEGRABLES</t>
  </si>
  <si>
    <t>(1) Seleccionar en el menú desplegable:  Corriente o de Capital</t>
  </si>
  <si>
    <t>(2) Describir la aportación de acuerdo a la denominación dada por el Entidad Otorgante. En el caso de aportaciones plurianuales, debe desglosarse la misma por anualidades, es decir, cada anualidad en una fila diferente</t>
  </si>
  <si>
    <t>(3) Indicar el año en el que la Entidad Otorgante reconoció la obligación en relación a la aportación o subvención. En las aportaciones plurianuales es el ejercicio en que se consigno en presupuesto, no e ejercicio en que se comprometió la aportación</t>
  </si>
  <si>
    <t>(4) Cumplimentar la fecha (día, mes y año) del plazo límite de justificación de la subvención</t>
  </si>
  <si>
    <t xml:space="preserve">(5) Indicar la Entidad Otorgante de la Subvención. </t>
  </si>
  <si>
    <t>(6) Importe total de la subvención y/o aportaciones concedidas o que se prevé conceder.</t>
  </si>
  <si>
    <t>(7) Saldo a final del ejercicio indicado correspondiente a las subvenciones y/o aportaciones pendientes de aplicar a su finalidad (reintegrables)</t>
  </si>
  <si>
    <t>(8) Importe de las subvenciones y/o aportaciones que se prevé conceder en el ejercicio presupuestado y que a cierre de dicho ejercicio tienen la consideración total o parcial de subvenciones reintegrables.</t>
  </si>
  <si>
    <t xml:space="preserve">(9) Importe de las subvenciones y/o aportaciones que se prevé reintegrar en el ejercicio presupuestado. </t>
  </si>
  <si>
    <r>
      <t>(10) Importe total o parcial de las subvenciones o aportaciones para las que se considera que se han cumplido las condiciones para ser consideradas no reintegrables y por tanto deben detallarse en el formulario</t>
    </r>
    <r>
      <rPr>
        <b/>
        <sz val="10"/>
        <color indexed="8"/>
        <rFont val="Arial"/>
        <family val="2"/>
      </rPr>
      <t xml:space="preserve"> FC-9</t>
    </r>
  </si>
  <si>
    <t>FC-10</t>
  </si>
  <si>
    <t>I. OBLIGACIONES Y OTROS VALORES NEGOCIABLES (1)</t>
  </si>
  <si>
    <t>Nº</t>
  </si>
  <si>
    <t>Tipo</t>
  </si>
  <si>
    <t>Fecha</t>
  </si>
  <si>
    <t>Epígrafe</t>
  </si>
  <si>
    <t>Avalada por</t>
  </si>
  <si>
    <t>Avalado por</t>
  </si>
  <si>
    <t>Importe</t>
  </si>
  <si>
    <t xml:space="preserve">(+) Emisiones en </t>
  </si>
  <si>
    <r>
      <rPr>
        <b/>
        <sz val="11"/>
        <color indexed="8"/>
        <rFont val="Arial"/>
        <family val="2"/>
      </rPr>
      <t>(-) Capital Amort.</t>
    </r>
    <r>
      <rPr>
        <b/>
        <sz val="12"/>
        <color indexed="8"/>
        <rFont val="Arial"/>
        <family val="2"/>
      </rPr>
      <t xml:space="preserve"> (5)</t>
    </r>
  </si>
  <si>
    <t>Intereses (6)</t>
  </si>
  <si>
    <t>Otros gastos financieros (7)</t>
  </si>
  <si>
    <t>Clasificación (8)</t>
  </si>
  <si>
    <t>Operación</t>
  </si>
  <si>
    <t>Emisión</t>
  </si>
  <si>
    <t>Vencimiento</t>
  </si>
  <si>
    <t>Balance</t>
  </si>
  <si>
    <t>(2)</t>
  </si>
  <si>
    <t>Otra entidad (3)</t>
  </si>
  <si>
    <t>Emitido y suscrito (4)</t>
  </si>
  <si>
    <t>corto plazo</t>
  </si>
  <si>
    <t>largo plazo</t>
  </si>
  <si>
    <t xml:space="preserve">   Total </t>
  </si>
  <si>
    <t>II. OPERACIONES DE CRÉDITO A CORTO y LARGO PLAZO (1)</t>
  </si>
  <si>
    <t>(+) Disposición Capital</t>
  </si>
  <si>
    <t>(-) Capital Amort. (5)</t>
  </si>
  <si>
    <t>Otros gastos financieros(7)</t>
  </si>
  <si>
    <t>Concesión</t>
  </si>
  <si>
    <t>Financiera</t>
  </si>
  <si>
    <t>Concedido (4)</t>
  </si>
  <si>
    <t>POLIZA DE CREDITO</t>
  </si>
  <si>
    <t>POR DETERMINAR</t>
  </si>
  <si>
    <t>III. OTROS PASIVOS FINANCIEROS A CORTO y LARGO PLAZO (1)</t>
  </si>
  <si>
    <t>B) RESTO DE OTROS PASIVOS FINANCIEROS</t>
  </si>
  <si>
    <t xml:space="preserve">Traspasos (9)          sin efecto monetario  </t>
  </si>
  <si>
    <t>FIANZAS RECIBIDAS DE CLIENTES</t>
  </si>
  <si>
    <t>FIANZAS POR GARANTIAS</t>
  </si>
  <si>
    <t>SUBTOTAL B)</t>
  </si>
  <si>
    <t>IV. DEUDAS CON EMPRESAS DEL GRUPO A CORTO Y LARGO PLAZO (1)</t>
  </si>
  <si>
    <t>otorgante</t>
  </si>
  <si>
    <t>Cabildo (2)</t>
  </si>
  <si>
    <r>
      <t>(1) Se desglosarán todas las operaciones, existentes y previstas, estén o no avaladas por el Cabildo Insular de Tenerife. Desglose epígrafes Pasivo del Balance de Situación: Obligaciones y otros pasivos negociables a largo y a corto plazo (</t>
    </r>
    <r>
      <rPr>
        <b/>
        <sz val="10"/>
        <color indexed="8"/>
        <rFont val="Arial"/>
        <family val="2"/>
      </rPr>
      <t>B.II.1 y C.III.1</t>
    </r>
    <r>
      <rPr>
        <sz val="10"/>
        <color indexed="8"/>
        <rFont val="Arial"/>
        <family val="2"/>
      </rPr>
      <t xml:space="preserve">), Deudas con entidades de crédito a largo plazo y arrendamientos financieros (  </t>
    </r>
    <r>
      <rPr>
        <b/>
        <sz val="10"/>
        <color indexed="8"/>
        <rFont val="Arial"/>
        <family val="2"/>
      </rPr>
      <t>B) II.2. - B) II.3. )</t>
    </r>
    <r>
      <rPr>
        <sz val="10"/>
        <color indexed="8"/>
        <rFont val="Arial"/>
        <family val="2"/>
      </rPr>
      <t xml:space="preserve"> y a corto plazo</t>
    </r>
    <r>
      <rPr>
        <b/>
        <sz val="10"/>
        <color indexed="8"/>
        <rFont val="Arial"/>
        <family val="2"/>
      </rPr>
      <t xml:space="preserve"> (  C) III.2  C) III.3.  )</t>
    </r>
    <r>
      <rPr>
        <sz val="10"/>
        <color indexed="8"/>
        <rFont val="Arial"/>
        <family val="2"/>
      </rPr>
      <t xml:space="preserve">, </t>
    </r>
  </si>
  <si>
    <r>
      <t xml:space="preserve">               Otros pasivos financieros a largo plazo </t>
    </r>
    <r>
      <rPr>
        <b/>
        <sz val="10"/>
        <color indexed="8"/>
        <rFont val="Arial"/>
        <family val="2"/>
      </rPr>
      <t>( B) II. 5. )</t>
    </r>
    <r>
      <rPr>
        <sz val="10"/>
        <color indexed="8"/>
        <rFont val="Arial"/>
        <family val="2"/>
      </rPr>
      <t xml:space="preserve">  y a corto plazo</t>
    </r>
    <r>
      <rPr>
        <b/>
        <sz val="10"/>
        <color indexed="8"/>
        <rFont val="Arial"/>
        <family val="2"/>
      </rPr>
      <t xml:space="preserve"> ( C) III. 5. )</t>
    </r>
    <r>
      <rPr>
        <sz val="10"/>
        <color indexed="8"/>
        <rFont val="Arial"/>
        <family val="2"/>
      </rPr>
      <t>, y  deudas con empresas del grupo y asociadas a largo plazo</t>
    </r>
    <r>
      <rPr>
        <b/>
        <sz val="10"/>
        <color indexed="8"/>
        <rFont val="Arial"/>
        <family val="2"/>
      </rPr>
      <t xml:space="preserve"> ( B) III. ) </t>
    </r>
    <r>
      <rPr>
        <sz val="10"/>
        <color indexed="8"/>
        <rFont val="Arial"/>
        <family val="2"/>
      </rPr>
      <t xml:space="preserve">y a corto plazo </t>
    </r>
    <r>
      <rPr>
        <b/>
        <sz val="10"/>
        <color indexed="8"/>
        <rFont val="Arial"/>
        <family val="2"/>
      </rPr>
      <t>( C)  IV. )</t>
    </r>
  </si>
  <si>
    <r>
      <t xml:space="preserve">(2) Se especificará si la operación está avalada por el Cabildo </t>
    </r>
    <r>
      <rPr>
        <b/>
        <sz val="10"/>
        <color indexed="8"/>
        <rFont val="Arial"/>
        <family val="2"/>
      </rPr>
      <t>(si/no)</t>
    </r>
  </si>
  <si>
    <t>(3) Indicar la entidad, distinta del Excmo. Cabildo Insular de Tenerife que avala la operación</t>
  </si>
  <si>
    <t>(4) Importe concedido o emitido y suscrito en el momento de la formalización de la operación.</t>
  </si>
  <si>
    <r>
      <t xml:space="preserve">(5) Cuota de amortización del principal de la deuda, y/o amortización anticipada prevista. (Capital a amortizar). </t>
    </r>
    <r>
      <rPr>
        <b/>
        <sz val="10"/>
        <color indexed="8"/>
        <rFont val="Arial"/>
        <family val="2"/>
      </rPr>
      <t>CIFRA EN NEGATIVO</t>
    </r>
  </si>
  <si>
    <t xml:space="preserve">(6) Intereses devengados en el ejercicio. </t>
  </si>
  <si>
    <t>(7) Otros gastos financieros relacionados con la operación, por ejemplo, gastos de avales, gastos de formalización, etc.</t>
  </si>
  <si>
    <t>(8) Desglose del saldo a fin de ejercicio entre lo que vence a corto plazo (1 año) y lo que vence a largo plazo (más de un año)</t>
  </si>
  <si>
    <t>(9) Traspasos por consideración de subvención no reintegrable, y otros traspasos sin efecto monetario. (Movimientos al debe con signo positivo y al haber con signo negativo)</t>
  </si>
  <si>
    <t>DEUDA VIVA Y PREVISIÓN DE VENCIMIENTOS DE DEUDA</t>
  </si>
  <si>
    <t>Deuda viva</t>
  </si>
  <si>
    <t>Vencimientos previstos</t>
  </si>
  <si>
    <t>a 31 dic.</t>
  </si>
  <si>
    <t>ene</t>
  </si>
  <si>
    <t>feb</t>
  </si>
  <si>
    <t>mar</t>
  </si>
  <si>
    <t>Concepto</t>
  </si>
  <si>
    <t>Operaciones de crédito a corto plazo (Importe dispuesto pendiente de amortizar según Reglamento 479/2009, del Consejo de Europa)</t>
  </si>
  <si>
    <t>Operaciones de tesorería</t>
  </si>
  <si>
    <t>Otras operaciones de crédito a corto plazo</t>
  </si>
  <si>
    <t>Confirming</t>
  </si>
  <si>
    <t>Emisiones de deuda corto plazo</t>
  </si>
  <si>
    <t>Operaciones de crédito a largo plazo (Importe dispuesto pendiente de amortizar según Reglamento 479/2009, del Consejo de Europa)</t>
  </si>
  <si>
    <t>Operaciones con entidades de crédito residentes</t>
  </si>
  <si>
    <t>Operaciones con entidades de crédito no residentes o que no faciliten información al Banco de España (Incluidos BEI, fondos de inversión etc.)</t>
  </si>
  <si>
    <t>Deuda con el FFEL (*)</t>
  </si>
  <si>
    <t>Operaciones con Institutos Autonómicos de Finanzas no clasificados como AAPP</t>
  </si>
  <si>
    <t>Otras operaciones de crédito</t>
  </si>
  <si>
    <t>Emisiones de deuda largo plazo</t>
  </si>
  <si>
    <t>Arrendamiento financiero</t>
  </si>
  <si>
    <t>Asociaciones público-privadas</t>
  </si>
  <si>
    <t>Factoring sin recurso conforme a la Decisión de Eurostat 31 de julio de 2012</t>
  </si>
  <si>
    <t>Reestructuración de deuda comercial según Decisión de Eurostat 31 de julio de 2012</t>
  </si>
  <si>
    <t>Otras operaciones de deuda</t>
  </si>
  <si>
    <t>TOTAL DEUDA VIVA PDE (1)</t>
  </si>
  <si>
    <t>AVALES</t>
  </si>
  <si>
    <t>Capital vivo de las operaciones avaladas a entidades dependientes clasificadas como SNF</t>
  </si>
  <si>
    <t>Capital vivo de las operaciones avaladas a entidades dependientes pendientes de clasificar</t>
  </si>
  <si>
    <t>Capital vivo de las operaciones avaladas a otras entidades no dependientes</t>
  </si>
  <si>
    <t>RIESGO DEDUCIDO DE LOS AVALES (2)</t>
  </si>
  <si>
    <t>OPERACIONES DE CRÉDITO FORMALIZADAS Y NO DISPUESTAS (3)</t>
  </si>
  <si>
    <t>A corto plazo</t>
  </si>
  <si>
    <t>A largo plazo</t>
  </si>
  <si>
    <t>OPERACIONES DE CRÉDITO CON ADMINISTRACIONES PÚBLICAS (4)</t>
  </si>
  <si>
    <t>Con la Administración General del Estado</t>
  </si>
  <si>
    <t>Con la Comunidad Autónoma</t>
  </si>
  <si>
    <t>Con la Diputación Provincial, Cabildo o Consejo Insular u otras EELL</t>
  </si>
  <si>
    <t>Con otras Administraciones Públicas</t>
  </si>
  <si>
    <t>OTRAS DEUDAS (5)</t>
  </si>
  <si>
    <t>CAPITAL VIVO A EFECTOS DEL ARTÍCULO 53 DEL TRLRHL Y DE LA DF 31ª LPGE 2013 (1 + 2 + 3 + 4 + 5)</t>
  </si>
  <si>
    <t>Avales vivos al final del periodo (valor nominal)</t>
  </si>
  <si>
    <t>Riesgos potenciales que pueden afectar a la solvencia de la entidad local</t>
  </si>
  <si>
    <t>Derivados de sentencias judiciales consecuencia de recursos de tramitación</t>
  </si>
  <si>
    <t>Derivados de expedientes de aplazamiento o fraccionamiento de deudas con la AEAT</t>
  </si>
  <si>
    <t>Derivados de expedientes de aplazamiento o fraccionamiento de deudas con la Seguridad Social</t>
  </si>
  <si>
    <t>NOTA</t>
  </si>
  <si>
    <t>(*) Se incluirán los préstamos con el Fondo de Financiación a Entidades Locales, que incluye el Fondo de Impulso Económico, el Fondo de Ordenación y el Fondo en liquidación para la financiación de los Pagos a Proveedores de EELL. En en este ultimo caso, tanto si se han instrumentado través de una operación de endeudamiento como a través de retenciones en la participación de la entidad local en los tributos del Estado (PTE)</t>
  </si>
  <si>
    <r>
      <t>PERFIL DE VENCIMIENTO DE DEUDA EN LOS PRÓXIMOS 10 AÑOS.</t>
    </r>
    <r>
      <rPr>
        <b/>
        <sz val="10"/>
        <color indexed="8"/>
        <rFont val="Arial"/>
        <family val="2"/>
      </rPr>
      <t xml:space="preserve"> (Total de operaciones contratadas y previsto contratar en el ejercicio presupuestado)</t>
    </r>
  </si>
  <si>
    <t>Vencimientos en el Ejercicio (incluyendo las operaciones previstas hasta 31/12/</t>
  </si>
  <si>
    <t>FC-12</t>
  </si>
  <si>
    <t>PERSONAL</t>
  </si>
  <si>
    <t xml:space="preserve">I. SECTORES A CONSIDERAR. (Se cumplimentará un cuadro para cada uno de los sectores de actividad de la Entidad)    </t>
  </si>
  <si>
    <t>(Marcar con X)</t>
  </si>
  <si>
    <t>x</t>
  </si>
  <si>
    <t xml:space="preserve">  Administracion General y Resto de sectores</t>
  </si>
  <si>
    <t xml:space="preserve">  Sector Asistencia social y dependencia</t>
  </si>
  <si>
    <t xml:space="preserve">  Sector Sanitario (personal que presta servicio en las Instituciones del Servicio Nacional de Salud</t>
  </si>
  <si>
    <t xml:space="preserve">  Educativo Universitario (personal que presta servicio en universidades)</t>
  </si>
  <si>
    <t xml:space="preserve">  Educativo no Universitario (personal que presta servicio en centros de la docencia no universitaria</t>
  </si>
  <si>
    <t>II. DATOS DE PLANTILLAS Y RETRIBUCIONES DE UN DETERMINADO SECTOR</t>
  </si>
  <si>
    <t xml:space="preserve">  Número total de efectivos</t>
  </si>
  <si>
    <t xml:space="preserve">  Número total de gastos</t>
  </si>
  <si>
    <t>III. GASTOS DISTRIBUIDOS POR GRUPOS DE PERSONAL</t>
  </si>
  <si>
    <t>Retribuciones distribuidas por grupos</t>
  </si>
  <si>
    <t>Grupo de</t>
  </si>
  <si>
    <t>Número de</t>
  </si>
  <si>
    <t>Sueldos y salarios</t>
  </si>
  <si>
    <t>Retribución</t>
  </si>
  <si>
    <t>Planes de</t>
  </si>
  <si>
    <t xml:space="preserve">Otras </t>
  </si>
  <si>
    <t>Total</t>
  </si>
  <si>
    <t>efectivos</t>
  </si>
  <si>
    <t>(excepto variable)</t>
  </si>
  <si>
    <t>Variable</t>
  </si>
  <si>
    <t>Pensiones</t>
  </si>
  <si>
    <t>Retribuciones</t>
  </si>
  <si>
    <t>Órganos Gobierno</t>
  </si>
  <si>
    <t>Máximos responsables</t>
  </si>
  <si>
    <t>Resto personal directivo</t>
  </si>
  <si>
    <t>Laboral contrato indefinido</t>
  </si>
  <si>
    <t>Laboral duración determinada</t>
  </si>
  <si>
    <t>Otro personal</t>
  </si>
  <si>
    <t xml:space="preserve">Total </t>
  </si>
  <si>
    <t>IV. GASTOS COMUNES SIN DISTRIBUIR POR GRUPOS</t>
  </si>
  <si>
    <t>Acción social</t>
  </si>
  <si>
    <t>Seguridad Social</t>
  </si>
  <si>
    <t>V. OBSERVACIONES</t>
  </si>
  <si>
    <t>Esta hoja se cumplimentará con los mismos datos que resulten de la hoja 'Resumen Personal' del fichero "Desglose gastos personal".</t>
  </si>
  <si>
    <t xml:space="preserve">En el caso de tener contabilizados gastos de dietas de asistencia a los Consejos de Administración dentro del subgrupo 64 del P.G.C, estos NO deberán reflejarse en la presente plantilla, </t>
  </si>
  <si>
    <t>sin perjuicio de su imputación en el apartado 6. “Gastos de Personal” de FC-3_CPyG</t>
  </si>
  <si>
    <t>FC-13</t>
  </si>
  <si>
    <t>Área de Presidencia, Hacienda y Modernización</t>
  </si>
  <si>
    <t>OPERACIONES INTERNAS</t>
  </si>
  <si>
    <t>TRANSACCIONES (de la cuenta de Pérdidas y Ganancias)</t>
  </si>
  <si>
    <t>Clasificación IGAE</t>
  </si>
  <si>
    <t>Tipo operación</t>
  </si>
  <si>
    <t>Ingresos (IGIC incluido)</t>
  </si>
  <si>
    <t>Gastos (IGIC incluido)</t>
  </si>
  <si>
    <t>ECIT o Entidades con participación íntegra del ECIT</t>
  </si>
  <si>
    <t>CABILDO INSULAR DE TENERIFE</t>
  </si>
  <si>
    <t>IASS</t>
  </si>
  <si>
    <t xml:space="preserve">CONSEJO INSULAR DE AGUAS </t>
  </si>
  <si>
    <t>O.A. MUSEOS Y CENTROS</t>
  </si>
  <si>
    <t xml:space="preserve">PATRONATO INSULAR DE MÚSICA </t>
  </si>
  <si>
    <t>TEA, TENERIFE ESPACIO DE LAS ARTES</t>
  </si>
  <si>
    <t>BALTEN</t>
  </si>
  <si>
    <t>Casino de Santa Cruz de Tenerife, S.A.</t>
  </si>
  <si>
    <t>Metropolitano de Tenerife, S.A. (MTSA)</t>
  </si>
  <si>
    <t>Sociedad Insular para la Promoción de las personas con discapacidad, S.L. (SINPROMI).</t>
  </si>
  <si>
    <t>Gestión Insular para el Deporte, la Cultura y el Ocio, S.A. (IDECO)</t>
  </si>
  <si>
    <t>Fundación Canaria para el Avance de la Biomedicina y la Biotecnología (BIOAVANCE)</t>
  </si>
  <si>
    <t>Fundación Canaria Insular para la Formación, el Empleo y el Desarrollo Empresarial (FIFEDE).</t>
  </si>
  <si>
    <t>Entidades con participación mayoritaria del ECIT</t>
  </si>
  <si>
    <t>Instituto Tecnológico de Energías Renovables, S.A. (ITER)</t>
  </si>
  <si>
    <t>Arrendamiento espacio para placas</t>
  </si>
  <si>
    <t>Cultivos y Tecnología Agraria de Tenerife, S.A.  (CULTESA)</t>
  </si>
  <si>
    <t>Parque Científico y Tecnológico de Tenerife, S.A. (PCTT – Intech)</t>
  </si>
  <si>
    <t>Instituto Tecnológico y de Telecom. de Tenerife, S.L. (IT3).</t>
  </si>
  <si>
    <t>Instituto Volcanológico de Canarias (INVOLCAN)</t>
  </si>
  <si>
    <t>Canarias Submarine Link S.L. (CANALINK)</t>
  </si>
  <si>
    <t>Instituto Médico Tinerfeño, S.A. (IMETISA)</t>
  </si>
  <si>
    <t>Transportes Interurbanos de Tenerife, S.A (TITSA)</t>
  </si>
  <si>
    <t>Fundación Canaria Tenerife Rural.</t>
  </si>
  <si>
    <t>Patronato</t>
  </si>
  <si>
    <t xml:space="preserve">Fundación Canaria, Agencia Insular de la Energía </t>
  </si>
  <si>
    <t>Entidades con participación minoritaria del ECIT</t>
  </si>
  <si>
    <t>Polígono Industrial de Granadilla.</t>
  </si>
  <si>
    <t>Mercatenerife, S.A.</t>
  </si>
  <si>
    <t>Polígono Industrial de Güímar, A.M.C.  (en extinción)</t>
  </si>
  <si>
    <t>Consorcio de Tributos de Tenerife.</t>
  </si>
  <si>
    <t>Consorcio Isla Baja.</t>
  </si>
  <si>
    <t>Consorcio de Prevención, Extinción de Incendios y Salvamento de la Isla de Tenerife.</t>
  </si>
  <si>
    <t>Consorcio Urbanístico para la Rehabilitación del Puerto de la Cruz.</t>
  </si>
  <si>
    <t>SALDOS (del Balance)</t>
  </si>
  <si>
    <t>Saldos deudores</t>
  </si>
  <si>
    <t>Saldos acreedores</t>
  </si>
  <si>
    <t>Deberá informarse en la memoria de actividades sobre la naturaleza de las operaciones que se prevé realizar. A este respecto el art. 117 del RD 500/1990 define como operaciones internas:</t>
  </si>
  <si>
    <t xml:space="preserve">   - Gastos e ingresos derivados de cesiones de personal</t>
  </si>
  <si>
    <t xml:space="preserve">   - Compraventas de bienes corrientes y de capital</t>
  </si>
  <si>
    <t xml:space="preserve">   - Prestaciones de servicios</t>
  </si>
  <si>
    <t xml:space="preserve">   - Tributos locales y precios públicos o privados exigibles por las Entidades cuyos presupuestos se consoliden</t>
  </si>
  <si>
    <t xml:space="preserve">   - Otros ingresos y gastos de similar naturaleza</t>
  </si>
  <si>
    <t xml:space="preserve">Las operaciones a incluir aquí serán las facturaciones entre entidades dependientes (con IGIC incluido), las facturaciones con el Cabildo (encargos), préstamos realizados entre entidades dependientes y aportaciones entre entidades dependientes si las hubiese. </t>
  </si>
  <si>
    <t>En ningún caso incluir las aportaciones y subvenciones del ECIT que han sido detalladas en FC-9</t>
  </si>
  <si>
    <t>FC-14</t>
  </si>
  <si>
    <t>ENCARGOS A MEDIOS PROPIOS PERSONIFICADOS DE LOS PODERES ADJUDICADORES</t>
  </si>
  <si>
    <t xml:space="preserve">RELACIÓN DE ENCARGOS </t>
  </si>
  <si>
    <t>Poder</t>
  </si>
  <si>
    <t>Importe anualidad</t>
  </si>
  <si>
    <t>Adjudicador</t>
  </si>
  <si>
    <t>Área</t>
  </si>
  <si>
    <t>Encargo</t>
  </si>
  <si>
    <t>Duración</t>
  </si>
  <si>
    <t>FC-15</t>
  </si>
  <si>
    <t>CAPACIDAD / NECESIDAD DE FINANCIACIÓN DE LA ENTIDAD (Calculada conforme a las normas del Sistema Europeo de Cuentas)</t>
  </si>
  <si>
    <t>( +/- ) Importe</t>
  </si>
  <si>
    <t>contemplado</t>
  </si>
  <si>
    <t>Informe Evaluación</t>
  </si>
  <si>
    <t>I. Ingresos a efectos de Contabilidad Nacional</t>
  </si>
  <si>
    <t>Importe Neto Cifra Negocios</t>
  </si>
  <si>
    <t>Trabajos previstos realizar por la empresa para su activo</t>
  </si>
  <si>
    <t>Ingresos accesorios y otros de la gestión corriente</t>
  </si>
  <si>
    <t>Subvenciones y Transferencias corrientes</t>
  </si>
  <si>
    <t>Ingresos Financieros por intereses</t>
  </si>
  <si>
    <t>Ingresos de participaciones en instrumentos de patrimonio (dividendos)</t>
  </si>
  <si>
    <t>Ajuste de Ingresos de participaciones en instrumentos de patrimonio (dividendos)  (3)</t>
  </si>
  <si>
    <t>Celda no formulada (rellenar a mano por la entidad)</t>
  </si>
  <si>
    <r>
      <t>Aportaciones patrimoniales</t>
    </r>
    <r>
      <rPr>
        <sz val="12"/>
        <color indexed="8"/>
        <rFont val="Arial"/>
        <family val="2"/>
      </rPr>
      <t xml:space="preserve"> (Aumento de capital + aportaciones de socios)</t>
    </r>
  </si>
  <si>
    <t>Subvenciones de capital previsto recibir</t>
  </si>
  <si>
    <t>II. Gastos a efectos de Contabilidad Nacional</t>
  </si>
  <si>
    <t>Gtos. de Personal</t>
  </si>
  <si>
    <t>Gtos. Financieros y asimilados</t>
  </si>
  <si>
    <t>Impuesto de Sociedades</t>
  </si>
  <si>
    <t>Otros impuestos</t>
  </si>
  <si>
    <t>Gtos. Excepcionales</t>
  </si>
  <si>
    <t>Variaciones del Inmovilizado material e intangible; de inversiones inmobiliarias; de existencias</t>
  </si>
  <si>
    <t>Variación de existencias de productos terminados y en curso de fabricación de la cuenta de PyG (1)</t>
  </si>
  <si>
    <t>Aplicación de Provisiones</t>
  </si>
  <si>
    <t>Inversiones efectuadas por cuenta de Administraciones y Entidades Públicas (2)</t>
  </si>
  <si>
    <t xml:space="preserve">Ayudas, transferencias y subvenciones concedidas </t>
  </si>
  <si>
    <t xml:space="preserve">Capacidad / Necesidad de financiación de la entidad (Sistema Europeo Cuentas)    -     ( I + II ) </t>
  </si>
  <si>
    <t>(1) Este saldo aparecerá como mayor gasto en caso de reducción de existencias (-) y como menor gasto en caso de incremento (+)</t>
  </si>
  <si>
    <t>(2) En caso de encomiendas de ejecución de obra que se registre en cuentas diferentes al inmovilizado y existencias. Será el Volumen de obra certificada durante el ejercicio y que figure como derecho a cobrar.</t>
  </si>
  <si>
    <t xml:space="preserve">     Se trataría de encomiendas recibidas de Otras Administraciones Públicas que no sean del Cabildo Insular de Tenerife o bien procedente de las entidades dependientes del Cabildo no recogidas en el listado siguiente:</t>
  </si>
  <si>
    <t>Organismos Autónomos</t>
  </si>
  <si>
    <t>INSTITUTO INSULAR DE ATENCIÓN SOCIAL Y SOCIO SANITARIA (IASS)</t>
  </si>
  <si>
    <t>CONSEJO INSULAR DE AGUAS DE TENERIFE (CIAT)</t>
  </si>
  <si>
    <t>PATRONATO INSULAR DE MÚSICA (PIM)</t>
  </si>
  <si>
    <t>ORGANISMO AUTÓNOMO MUSEOS Y CENTROS (OAMC)</t>
  </si>
  <si>
    <t>Entidades Públicas Empresariales</t>
  </si>
  <si>
    <t>Sociedades  íntegras</t>
  </si>
  <si>
    <t>EMPRESA INSULAR DE ARTESANÍA, S.A.</t>
  </si>
  <si>
    <t>SOCIEDAD INSULAR PARA LA PROMOCIÓN DE LAS PERSONAS CON DISCAPACIDAD, S.L. (SINPROMI)</t>
  </si>
  <si>
    <t>AUDITORIO DE TENERIFE , S.A.</t>
  </si>
  <si>
    <t>GESTIÓN INSULAR PARA EL DEPORTE, LA CULTURA Y EL OCIO, S.A. (IDECO)</t>
  </si>
  <si>
    <t>Sociedades mayoritarias</t>
  </si>
  <si>
    <t>SPET TURISMO DE TENERIFE, S.A.</t>
  </si>
  <si>
    <t>INSTITUTO MEDICO TINERFEÑO, S.A. (IMETISA)</t>
  </si>
  <si>
    <t>INSTITUTO VOLCANOLÓGICO DE CANARIAS, S.A. (INVOLCAN)</t>
  </si>
  <si>
    <t>PARQUE CIENTÍFICO Y TECNOLÓGICO DE TENERIFE, S.A. (PCTT)</t>
  </si>
  <si>
    <t>Fundaciones e Instituciones sin ánimo de lucro</t>
  </si>
  <si>
    <t>FUNDACIÓN CANARIA TENERIFE RURAL</t>
  </si>
  <si>
    <t>FUNDACIÓN CANARIA INSULAR PARA LA FORMACIÓN, EL EMPLEO Y EL DESARROLLO EMPRESARIAL (FIFEDE)</t>
  </si>
  <si>
    <t>FUNDACIÓN CANARIA, AGENCIA INSULAR DE LA ENERGÍA</t>
  </si>
  <si>
    <t>PARQUES EÓLICOS DE GRANADILLA, A.I.E.</t>
  </si>
  <si>
    <t>FUNDACIÓN CANARIA PARA EL AVANCE DE LA BIOMEDICINA Y LA BIOTECNOLOGÍA (BIOAVANCE)</t>
  </si>
  <si>
    <t>Consorcios</t>
  </si>
  <si>
    <t>CONSORCIO DE TRIBUTOS DE TENERIFE</t>
  </si>
  <si>
    <t>CONSORCIO ISLA BAJA</t>
  </si>
  <si>
    <t>CONSORCIO URBANÍSTICO PARA LA REHABILITACIÓN DEL PUERTO DE LA CRUZ</t>
  </si>
  <si>
    <t>CONSORCIO DE PREVENCIÓN, EXTINCIÓN DE INCENDIOS Y SALVAMENTO DE LA ISLA DE TENERIFE</t>
  </si>
  <si>
    <t>(3) Debe ajustarse la cuantía de los dividendos recibidos que no proceda de Beneficio del Ejercicio Corriente Antes de Impuestos. (P. Ej. Distribución reservas, distribucioón de resultados no ordinarios)</t>
  </si>
  <si>
    <t>FC-16</t>
  </si>
  <si>
    <t xml:space="preserve">Saldo inicial </t>
  </si>
  <si>
    <t>Saldo final</t>
  </si>
  <si>
    <t>OBSERVACIONES (1)</t>
  </si>
  <si>
    <t>A LARGO PLAZO</t>
  </si>
  <si>
    <t>(+) Dotaciones</t>
  </si>
  <si>
    <t>(-) Aplicaciones</t>
  </si>
  <si>
    <t>(-) Excesos</t>
  </si>
  <si>
    <t xml:space="preserve">(+/-) Traspasos (Reclasificaciones) </t>
  </si>
  <si>
    <t>(140) Provisión por retribuciones al personal</t>
  </si>
  <si>
    <t>(141) Provisión para impuestos</t>
  </si>
  <si>
    <t>(143) Provisión por desmantelamiento, retiro o rehabilitación del inmovilizado</t>
  </si>
  <si>
    <t>(142), (145), (146), (147) Otras Provisiones</t>
  </si>
  <si>
    <t>A CORTO PLAZO</t>
  </si>
  <si>
    <t>(5290) Provisión a corto plazo por retribuciones al personal</t>
  </si>
  <si>
    <t>(5291) Provisión a corto plazo para impuestos</t>
  </si>
  <si>
    <t>(5293) Provisión a corto plazo por desmantelamiento, retiro o rehabilitación del inmovilizado</t>
  </si>
  <si>
    <t>(499), (5292), (5295), (5296), (5297) Otras provisiones a corto plazo</t>
  </si>
  <si>
    <t>Se informará en este cuadro del movimiento en el periodo de las provisiones a largo plazo y corto plazo, con el desglose previsto en el Plan General de Contabilidad</t>
  </si>
  <si>
    <t>(1)  OBSERVACIONES: se recogera cualquier otra información que se considere relevante relativa a cada operación.</t>
  </si>
  <si>
    <t>FC-16_1</t>
  </si>
  <si>
    <t>FUENTES DE FINANCIACIÓN</t>
  </si>
  <si>
    <t>Importe s/criterio del aportante</t>
  </si>
  <si>
    <t>%</t>
  </si>
  <si>
    <t>1. Ventas de bienes y prestaciones de servicios dentro del sector público</t>
  </si>
  <si>
    <t>a.</t>
  </si>
  <si>
    <t>A la Entidad Local o a sus unidades dependientes</t>
  </si>
  <si>
    <t>b.</t>
  </si>
  <si>
    <t>A otras administraciones públicas</t>
  </si>
  <si>
    <t>c.</t>
  </si>
  <si>
    <t>A empresas y entes públicos</t>
  </si>
  <si>
    <t>2. Ventas de bienes y prestaciones de servicios al sector privado</t>
  </si>
  <si>
    <t>3. Transferencias y subvenciones recibidas</t>
  </si>
  <si>
    <t xml:space="preserve">    3.1. Transferencias y subvenciones recibidas de explotación</t>
  </si>
  <si>
    <t>De la Entidad Local o sus unidades dependientes</t>
  </si>
  <si>
    <t>De otras administraciones y entes públicos</t>
  </si>
  <si>
    <t>De la Unión Europea</t>
  </si>
  <si>
    <t xml:space="preserve">    3.2. Transferencias y subvenciones recibidas de capital</t>
  </si>
  <si>
    <t>4. Otros ingresos (especificar en su caso)</t>
  </si>
  <si>
    <t>Ingresos accesorios, siempre que procedan de una actividad productiva</t>
  </si>
  <si>
    <t>El aumento (+) o la disminución (-) de existencias de productos terminados y en curso</t>
  </si>
  <si>
    <t>TOTAL ( 1 + 2 + 3 + 4 )</t>
  </si>
  <si>
    <t>En ningún caso se considerarán las aportaciones genéricas del anexo III ni los restantes ingresos recogidos en la cuenta de pérdidas y ganancias, tales como, excesos de provisiones para riesgos y gastos, ingresos financieros, resultados extraordinarios, trabajos realizados por la empresa para su inmovilizado, ni la imputación a resultados de las subvenciones de capital.</t>
  </si>
  <si>
    <t>FC-90</t>
  </si>
  <si>
    <t>ESTRUCTURA PRESUPUESTARIA  -  ESTADO DE PREVISIÓN DE INGRESOS Y GASTOS</t>
  </si>
  <si>
    <t>Capítulos Ingresos</t>
  </si>
  <si>
    <t>Impuestos directos</t>
  </si>
  <si>
    <t>Impuestos indirectos</t>
  </si>
  <si>
    <t>Tasas y otros ingresos</t>
  </si>
  <si>
    <t>Transferencias corrientes</t>
  </si>
  <si>
    <t>Ingresos patrimoniales</t>
  </si>
  <si>
    <t xml:space="preserve">  Total Ingresos Corrientes</t>
  </si>
  <si>
    <t>Enajenación de inversiones</t>
  </si>
  <si>
    <t>Transferencias de capital</t>
  </si>
  <si>
    <t xml:space="preserve">  Total Ingresos de Capital</t>
  </si>
  <si>
    <t>Activos financieros</t>
  </si>
  <si>
    <t>Pasivos financieros</t>
  </si>
  <si>
    <t xml:space="preserve">  Total Ingresos Financieros</t>
  </si>
  <si>
    <t xml:space="preserve">  TOTAL INGRESOS</t>
  </si>
  <si>
    <t xml:space="preserve">  Otros ingresos de la cuenta de pérdidas y ganancias</t>
  </si>
  <si>
    <t>Capítulos Gastos</t>
  </si>
  <si>
    <t>Gastos de Personal</t>
  </si>
  <si>
    <t>Compra de Bienes y Servicios</t>
  </si>
  <si>
    <t>Intereses</t>
  </si>
  <si>
    <t>Transferencias Corrientes</t>
  </si>
  <si>
    <t xml:space="preserve">  Total Gastos Corrientes</t>
  </si>
  <si>
    <t>Inversiones Reales</t>
  </si>
  <si>
    <t xml:space="preserve">  Total Gastos de Capital</t>
  </si>
  <si>
    <t xml:space="preserve">  Total Gastos Financieros</t>
  </si>
  <si>
    <t xml:space="preserve">  TOTAL GASTOS</t>
  </si>
  <si>
    <t xml:space="preserve">  Otros gastos de la cuenta de pérdidas y ganancias</t>
  </si>
  <si>
    <t xml:space="preserve">  A. DIFERENCIA INGRESOS - GASTOS</t>
  </si>
  <si>
    <t xml:space="preserve">  B. Ajuste VARIACIONES DE BALANCE</t>
  </si>
  <si>
    <t>RESULTADO DE LA COMPROBACIÓN  ( A + B )</t>
  </si>
  <si>
    <t>(PyG)</t>
  </si>
  <si>
    <t>(Balance)</t>
  </si>
  <si>
    <t>Ajuste (Manual)</t>
  </si>
  <si>
    <t>PRESUPUESTO</t>
  </si>
  <si>
    <t>Comentario ajuste manual</t>
  </si>
  <si>
    <t>A) 1. Importe neto de la cifra de negocios</t>
  </si>
  <si>
    <t>Otros ingresos de explotación. a.1. Resultados de operaciones en común.</t>
  </si>
  <si>
    <t>Otros ingresos de explotación. a. 3. Ingresos por comisiones, servicios al personal y servicios diversos</t>
  </si>
  <si>
    <t>Detalle de ingresos y gastos excepcionales. INGRESOS 778 con efecto monetario</t>
  </si>
  <si>
    <t>Anticipos</t>
  </si>
  <si>
    <t>Introducir manualmente, efecto de anticipos significativos en la entidad que sea aplicable</t>
  </si>
  <si>
    <t>5. b) Subvenciones de explotación incorporadas al resultado del ejercicio</t>
  </si>
  <si>
    <t>Ajuste para evitar duplicidad con aportación genérica registrada en PyG</t>
  </si>
  <si>
    <t>Total aportaciones de socios</t>
  </si>
  <si>
    <t>Ajuste de traspaso a no reintegrables (Ejercicio n-1 y anteriores) - Aport. Corrientes</t>
  </si>
  <si>
    <t>Otros ingresos de explotación. a. 2. Ingresos arrendamientos y propied. Industrial cedida explotación</t>
  </si>
  <si>
    <t>14. a) Ingresos financieros. De participaciones en instrumentos de patrimonio</t>
  </si>
  <si>
    <t>14. b) Ingresos financieros. De valores negociables y otros instrumentos financieros</t>
  </si>
  <si>
    <t>19. b) Otros ingresos y gastos de carácter financiero. Ingresos derivados de convenios de acreedores</t>
  </si>
  <si>
    <t>19. c) Otros ingresos y gastos de carácter financiero. Resto de ingresos y gastos</t>
  </si>
  <si>
    <t>Ventas de inmoviilizado e inversiones inmobiliarias (celda K31)</t>
  </si>
  <si>
    <t>Ojo, solo vincula la baja del coste, no la pérdida o beneficio</t>
  </si>
  <si>
    <t>Subvenciones de capital concedidas. (celda I31)</t>
  </si>
  <si>
    <t>FC-4.1</t>
  </si>
  <si>
    <t xml:space="preserve">Emisión de instrumentos de patrimonio </t>
  </si>
  <si>
    <t>Ajuste de traspaso a no reintegrables (Ejercicio n-1 y anteriores)</t>
  </si>
  <si>
    <t>Enajenaciones o reembolsos. Inversiones empresas grupo y asociadas. Inversiones inst. patrimonio (celda H25)</t>
  </si>
  <si>
    <t>Enajenaciones o reembolsos. Inversiones empresas grupo y asociadas. Resto inversiones (celda H34)</t>
  </si>
  <si>
    <t>Enajenaciones o reembolsos. Inversiones en otras empresas. Inversiones inst. patrimonio (celda H49)</t>
  </si>
  <si>
    <t>Enajenaciones o reembolsos. Inversiones en otras empresas. Resto inversiones (celda H58)</t>
  </si>
  <si>
    <t>Disposiciones de capital de operaciones de crédito</t>
  </si>
  <si>
    <t>Disposiciones de operaciones de cobertura</t>
  </si>
  <si>
    <t>Introducir manualmente, en PAIF plantilla no está incluido</t>
  </si>
  <si>
    <t>Disposiciones de capital de obligaciones y otros valores negociables (A largo y a corto plazo)</t>
  </si>
  <si>
    <t>Disposiciones de capital de otros pasivos financieros, resto (A largo y a corto plazo)</t>
  </si>
  <si>
    <t>Disposiciones de capital de otros pasivos financieros, deudas transformables en subvenciones(A largo y a corto plazo)</t>
  </si>
  <si>
    <t>Ajuste por aportaciones específicas corrientes concedidas en año "n" transferidas al resultado del ejercicio</t>
  </si>
  <si>
    <t>Ajuste por aportaciones específicas capital concedidas en año "n" transferidas al resultado del ejercicio</t>
  </si>
  <si>
    <t xml:space="preserve">Disposiciones de deudas con empresas del grupo a largo plazo y a corto plazo </t>
  </si>
  <si>
    <t>Disposiciones de deudas con características especiales a largo plazo y a corto plazo</t>
  </si>
  <si>
    <t xml:space="preserve">  TOTAL INGRESOS PRESUPUESTARIOS</t>
  </si>
  <si>
    <t>2. Variación de existencias de productos terminados y en curso de fabricación</t>
  </si>
  <si>
    <t>Si es &gt; 0</t>
  </si>
  <si>
    <t>3. Trabajos realizados por la empresas para su activo</t>
  </si>
  <si>
    <t>Ojo posible duplicidad con altas de inmovilizado</t>
  </si>
  <si>
    <t>9. Imputación de subvenciones de inmovilizado no financiero y otras</t>
  </si>
  <si>
    <t>10. Exceso de provisiones</t>
  </si>
  <si>
    <t>11.b) Deterioro y resultados. Resultados por enajenaciones y otras.</t>
  </si>
  <si>
    <t>12.  Diferencia negativa de combinaciones de negocio</t>
  </si>
  <si>
    <t>Ingresos Excepcionales sin efecto monetario</t>
  </si>
  <si>
    <t>14. c) Imputación de subvenciones, donaciones y legados de carácter financiero</t>
  </si>
  <si>
    <t>16. Variación del valor razonable en instrumentos financieros</t>
  </si>
  <si>
    <t xml:space="preserve">  TOTAL INGRESOS (PRESUPUESTARIOS Y NO PRESUPUESTARIOS)</t>
  </si>
  <si>
    <t>6. Gastos de personal</t>
  </si>
  <si>
    <t>Ajustado de provisiones, en negativo (6.c) Provisiones)</t>
  </si>
  <si>
    <t>Reclasificación de gastos de personal no incluidos en FC-13</t>
  </si>
  <si>
    <t>FC-3. FC-7</t>
  </si>
  <si>
    <t>4. Aprovisionamientos  -   Compras</t>
  </si>
  <si>
    <t>El dato formulado no son compras, incluye variación existencias</t>
  </si>
  <si>
    <t>Ajustado de deterioro, en negativo (4.d) Deterioro de mercadería, materias primas, …)</t>
  </si>
  <si>
    <t>7. a) Servicios exteriores.</t>
  </si>
  <si>
    <t>7. b) Tributos</t>
  </si>
  <si>
    <t>7. d) Otros gastos de gestión corriente</t>
  </si>
  <si>
    <t>7. e) Gastos por emisión de gases de efecto invernadero</t>
  </si>
  <si>
    <t>20. Impuesto de beneficios</t>
  </si>
  <si>
    <t>Detalle de ingresos y gastos excepcionales. GASTOS 678 con efecto monetario</t>
  </si>
  <si>
    <t>Ajustado (en negativo), subvenciones concedidas y transferencias a realizar por la entidad</t>
  </si>
  <si>
    <t>Gastos imputados a reservas</t>
  </si>
  <si>
    <t>15. a). Gastos financieros. Por deudas con empresas del grupo y asociadas</t>
  </si>
  <si>
    <t>15. b). Gastos financieros. Por deudas con terceros</t>
  </si>
  <si>
    <t>19. a)  Incorporación al activo de gastos financieros</t>
  </si>
  <si>
    <t>Subvenciones concedidas y transferencias a realizar por la entidad</t>
  </si>
  <si>
    <t>Dividendos</t>
  </si>
  <si>
    <t>Adquisiciones de inmovilizado e inversiones inmobiliarias (celda F31)</t>
  </si>
  <si>
    <t>Intereses capitalizados (celda H31)</t>
  </si>
  <si>
    <t>Reducción de capital</t>
  </si>
  <si>
    <t>Adquisiciones. Inversiones empresas grupo y asociadas. Inversiones inst. patrimonio (celda G25)</t>
  </si>
  <si>
    <t>Adquisiciones. Inversiones empresas grupo y asociadas. Resto inversiones (celda G34)</t>
  </si>
  <si>
    <t>Adquisiciones. Inversiones en otras empresas. Inversiones inst. patrimonio (celda G49)</t>
  </si>
  <si>
    <t>Adquisiciones. Inversiones en otras empresas. Resto inversiones (celda H58)</t>
  </si>
  <si>
    <t>Amortizaciones de capital de operaciones de crédito (celda N43)</t>
  </si>
  <si>
    <t>Amortizaciones de operaciones de cobertura</t>
  </si>
  <si>
    <t>Amortizaciones de capital de obligaciones y otros valores negociables (A largo y a corto plazo)</t>
  </si>
  <si>
    <t>Amortizaciones de capital de otros pasivos financieros (A largo y a corto plazo)</t>
  </si>
  <si>
    <t xml:space="preserve">Amortizaciones de deudas con empresas del grupo a largo plazo y a corto plazo </t>
  </si>
  <si>
    <t>Amortizaciones de deudas con características especiales a largo plazo y a corto plazo</t>
  </si>
  <si>
    <t xml:space="preserve">  TOTAL GASTOS PRESUPUESTARIOS</t>
  </si>
  <si>
    <t xml:space="preserve">  A. RESULTADO PRESUPUESTARIO (INGRESOS PRESUPUESTARIOS - GASTOS PRESUPUESTARIOS)</t>
  </si>
  <si>
    <t>Si es &lt; 0</t>
  </si>
  <si>
    <t>4.d) Deterioro de mercadería, materias primas, …</t>
  </si>
  <si>
    <t>6.c) Provisiones de personal</t>
  </si>
  <si>
    <t>7. c) Pérdidas, deterioro y variación de provisiones comerciales</t>
  </si>
  <si>
    <t>8) Amortización del inmovilizado</t>
  </si>
  <si>
    <t>11. a) Deterioro y resultado de enajenaciones de inmovilizado. Deterioro y pérdidas</t>
  </si>
  <si>
    <t>INTRODUCCIÓN FORMULADA TRAS ANÁLISIS DE MOVIMIENTOS</t>
  </si>
  <si>
    <t>11. c) Deterioro y resultados por enajenaciones del inmovilizado de las sociedades holdings</t>
  </si>
  <si>
    <t>FC-3_1</t>
  </si>
  <si>
    <t>Gastos Excepcionales sin efecto monetario</t>
  </si>
  <si>
    <t>15. c) Gastos financieros. Por actualización de provisiones.</t>
  </si>
  <si>
    <t>17. Diferencias en cambio</t>
  </si>
  <si>
    <t>18. Deterioro y resultado por enajenaciones de instrumentos financieros</t>
  </si>
  <si>
    <t>TOTAL GASTOS PRESUPUESTARIOS Y NO PRESUPUESTARIOS</t>
  </si>
  <si>
    <t xml:space="preserve">  B. RESULTADO TOTAL (PRESUPUESTARIO Y NO PRESUPUESTARIO)</t>
  </si>
  <si>
    <t>Variaciones de BALANCE sin efecto en presupuesto</t>
  </si>
  <si>
    <t>(+/-)Provisión por desmantelamiento</t>
  </si>
  <si>
    <t xml:space="preserve">(-)Amortización del ejercicio </t>
  </si>
  <si>
    <t xml:space="preserve">(+/-)Deterioro o Reversión del deterioro </t>
  </si>
  <si>
    <t xml:space="preserve">(+/-) Otras variaciones (especificar en observaciones) </t>
  </si>
  <si>
    <t>Variación del activo corriente sin inversiones financieras a C/P</t>
  </si>
  <si>
    <t>FC-4 ACTIVO</t>
  </si>
  <si>
    <t>Variación activos por impuesto diferido</t>
  </si>
  <si>
    <t>Variación activos no corrientes mantenidos para la venta</t>
  </si>
  <si>
    <t>Variación de Existencias</t>
  </si>
  <si>
    <t>Variación de deudores comerciales y otras cuentas a cobrar</t>
  </si>
  <si>
    <t>Variación de periodificaciones a corto plazo</t>
  </si>
  <si>
    <t>Variación de Efectivo y otros activos liquidos equivalentes</t>
  </si>
  <si>
    <t>Variación deudas comerciales no corrientes</t>
  </si>
  <si>
    <t>Variación del pasivo corriente - no corriente</t>
  </si>
  <si>
    <t>FC-4 PASIVO</t>
  </si>
  <si>
    <t>Variación de las Provisiones a largo plazo</t>
  </si>
  <si>
    <t>Variación de pasivos por impuesto diferido</t>
  </si>
  <si>
    <t>Variación de periodificaciones a largo plazo</t>
  </si>
  <si>
    <t>Variación de acreedores comerciales y otras cuentas a pagar</t>
  </si>
  <si>
    <t>Variación de las Provisiones a corto plazo</t>
  </si>
  <si>
    <t>Variación de las Periodificaciones a corto plazo</t>
  </si>
  <si>
    <t>Variación de acreedores comerciales no corrientes</t>
  </si>
  <si>
    <t>Variación de pasivos por impuesto diferido sin efecto en subvenciones</t>
  </si>
  <si>
    <t>Variación del patrimonio neto</t>
  </si>
  <si>
    <t>Subvenciones donaciones y legados</t>
  </si>
  <si>
    <t>Otras variaciones (detallar)</t>
  </si>
  <si>
    <t>FC-90_Detalle</t>
  </si>
  <si>
    <t>COMPROBACIONES</t>
  </si>
  <si>
    <t>De la cuenta de pérdidas y ganancias</t>
  </si>
  <si>
    <t>Resultado de la cuenta de pérdidas y ganancias (FC-3)</t>
  </si>
  <si>
    <t>Total resultado presupuestario y no presupuestario</t>
  </si>
  <si>
    <t>Variaciones en balance sin efecto presupuestario</t>
  </si>
  <si>
    <t>APORTACIONES ESPECÍFICAS y GENÉRICAS</t>
  </si>
  <si>
    <t>Aportaciones específicas de capital s/ criterio de la entidad concedente</t>
  </si>
  <si>
    <t>Aportaciones específicas corrientes s/ criterio de la entidad concedente</t>
  </si>
  <si>
    <t>Aportaciones genéricas s/ criterio de la entidad concedente</t>
  </si>
  <si>
    <t>TOTAL APORTACIONES DEL EJERCICIO S/ ENTIDAD CONCEDENTE</t>
  </si>
  <si>
    <t>Clasificación en estructura presupuestaria:</t>
  </si>
  <si>
    <t>Ingresos por pasivos financieros (solo deudas transformables en subvenciones)</t>
  </si>
  <si>
    <r>
      <t xml:space="preserve">          Por aportaciones </t>
    </r>
    <r>
      <rPr>
        <b/>
        <i/>
        <sz val="9"/>
        <color indexed="30"/>
        <rFont val="Arial"/>
        <family val="2"/>
      </rPr>
      <t>corrientes</t>
    </r>
    <r>
      <rPr>
        <i/>
        <sz val="9"/>
        <color indexed="8"/>
        <rFont val="Arial"/>
        <family val="2"/>
      </rPr>
      <t xml:space="preserve"> consideradas subvenciones reintegrables (deudas transformables en subvenciones)</t>
    </r>
  </si>
  <si>
    <r>
      <t xml:space="preserve">          Por aportaciones </t>
    </r>
    <r>
      <rPr>
        <i/>
        <sz val="9"/>
        <color indexed="30"/>
        <rFont val="Arial"/>
        <family val="2"/>
      </rPr>
      <t xml:space="preserve">de </t>
    </r>
    <r>
      <rPr>
        <b/>
        <i/>
        <sz val="9"/>
        <color indexed="30"/>
        <rFont val="Arial"/>
        <family val="2"/>
      </rPr>
      <t xml:space="preserve">capital </t>
    </r>
    <r>
      <rPr>
        <i/>
        <sz val="9"/>
        <color indexed="8"/>
        <rFont val="Arial"/>
        <family val="2"/>
      </rPr>
      <t>consideradas subvenciones reintegrables (deudas transformables en subvenciones)</t>
    </r>
  </si>
  <si>
    <t>CHECK LIST de revisión</t>
  </si>
  <si>
    <r>
      <t xml:space="preserve">La EEDD está estimando el reparto de </t>
    </r>
    <r>
      <rPr>
        <b/>
        <sz val="12"/>
        <color indexed="8"/>
        <rFont val="Arial"/>
        <family val="2"/>
      </rPr>
      <t>dividendos</t>
    </r>
    <r>
      <rPr>
        <sz val="12"/>
        <color indexed="8"/>
        <rFont val="Arial"/>
        <family val="2"/>
      </rPr>
      <t xml:space="preserve"> por importe de:</t>
    </r>
  </si>
  <si>
    <t xml:space="preserve">      De los cuales, le corresponde al Cabildo:</t>
  </si>
  <si>
    <t xml:space="preserve">      A otras entidades dependientes:</t>
  </si>
  <si>
    <t xml:space="preserve">      Al resto de accionistas / socios</t>
  </si>
  <si>
    <t>El Pago por Disponibilidad asciende a: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</si>
</sst>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d\-mmm\-yyyy"/>
    <numFmt numFmtId="165" formatCode="dd\-mm\-yy;@"/>
  </numFmts>
  <fonts count="83">
    <font>
      <sz val="12"/>
      <color theme="1"/>
      <name val="Helvetica"/>
      <family val="2"/>
    </font>
    <font>
      <sz val="12"/>
      <color indexed="8"/>
      <name val="Arial"/>
      <family val="2"/>
    </font>
    <font>
      <b/>
      <sz val="12"/>
      <color indexed="8"/>
      <name val="Arial"/>
      <family val="2"/>
    </font>
    <font>
      <b/>
      <sz val="14"/>
      <color indexed="8"/>
      <name val="Arial"/>
      <family val="2"/>
    </font>
    <font>
      <b/>
      <sz val="11"/>
      <color indexed="8"/>
      <name val="Arial"/>
      <family val="2"/>
    </font>
    <font>
      <sz val="8"/>
      <name val="Helvetica"/>
      <family val="2"/>
    </font>
    <font>
      <sz val="10"/>
      <color indexed="8"/>
      <name val="Arial"/>
      <family val="2"/>
    </font>
    <font>
      <b/>
      <sz val="10"/>
      <color indexed="8"/>
      <name val="Arial"/>
      <family val="2"/>
    </font>
    <font>
      <sz val="10"/>
      <name val="Arial"/>
      <family val="2"/>
    </font>
    <font>
      <b/>
      <sz val="10"/>
      <name val="Arial"/>
      <family val="2"/>
    </font>
    <font>
      <b/>
      <sz val="12"/>
      <name val="Arial"/>
      <family val="2"/>
    </font>
    <font>
      <b/>
      <sz val="9"/>
      <color indexed="8"/>
      <name val="Arial"/>
      <family val="2"/>
    </font>
    <font>
      <b/>
      <sz val="9"/>
      <name val="Arial"/>
      <family val="2"/>
    </font>
    <font>
      <sz val="9"/>
      <color indexed="8"/>
      <name val="Arial"/>
      <family val="2"/>
    </font>
    <font>
      <b/>
      <sz val="12"/>
      <color indexed="10"/>
      <name val="Arial"/>
      <family val="2"/>
    </font>
    <font>
      <sz val="8"/>
      <name val="Arial"/>
      <family val="2"/>
    </font>
    <font>
      <b/>
      <sz val="14"/>
      <name val="Arial"/>
      <family val="2"/>
    </font>
    <font>
      <b/>
      <i/>
      <sz val="14"/>
      <color indexed="8"/>
      <name val="Arial"/>
      <family val="2"/>
    </font>
    <font>
      <sz val="12"/>
      <name val="Arial"/>
      <family val="2"/>
    </font>
    <font>
      <b/>
      <u/>
      <sz val="12"/>
      <name val="Arial"/>
      <family val="2"/>
    </font>
    <font>
      <b/>
      <u/>
      <sz val="10"/>
      <color indexed="8"/>
      <name val="Arial"/>
      <family val="2"/>
    </font>
    <font>
      <sz val="9"/>
      <name val="Arial"/>
      <family val="2"/>
    </font>
    <font>
      <b/>
      <u/>
      <sz val="12"/>
      <color indexed="8"/>
      <name val="Arial"/>
      <family val="2"/>
    </font>
    <font>
      <sz val="12"/>
      <color indexed="30"/>
      <name val="Arial"/>
      <family val="2"/>
    </font>
    <font>
      <sz val="11"/>
      <name val="Arial"/>
      <family val="2"/>
    </font>
    <font>
      <b/>
      <sz val="11"/>
      <name val="Arial"/>
      <family val="2"/>
    </font>
    <font>
      <i/>
      <sz val="9"/>
      <color indexed="8"/>
      <name val="Arial"/>
      <family val="2"/>
    </font>
    <font>
      <b/>
      <sz val="12"/>
      <color indexed="30"/>
      <name val="Arial"/>
      <family val="2"/>
    </font>
    <font>
      <b/>
      <i/>
      <sz val="9"/>
      <color indexed="30"/>
      <name val="Arial"/>
      <family val="2"/>
    </font>
    <font>
      <i/>
      <sz val="9"/>
      <color indexed="30"/>
      <name val="Arial"/>
      <family val="2"/>
    </font>
    <font>
      <sz val="12"/>
      <color theme="1"/>
      <name val="Helvetica"/>
      <family val="2"/>
    </font>
    <font>
      <b/>
      <sz val="12"/>
      <color theme="1"/>
      <name val="Arial"/>
      <family val="2"/>
    </font>
    <font>
      <sz val="12"/>
      <color theme="1"/>
      <name val="Arial"/>
      <family val="2"/>
    </font>
    <font>
      <b/>
      <sz val="14"/>
      <color theme="1"/>
      <name val="Arial"/>
      <family val="2"/>
    </font>
    <font>
      <b/>
      <sz val="22"/>
      <color theme="1"/>
      <name val="Arial"/>
      <family val="2"/>
    </font>
    <font>
      <b/>
      <sz val="18"/>
      <color theme="1"/>
      <name val="Arial"/>
      <family val="2"/>
    </font>
    <font>
      <sz val="14"/>
      <color theme="1"/>
      <name val="Arial"/>
      <family val="2"/>
    </font>
    <font>
      <b/>
      <sz val="11"/>
      <color theme="1"/>
      <name val="Arial"/>
      <family val="2"/>
    </font>
    <font>
      <sz val="11"/>
      <color theme="1"/>
      <name val="Arial"/>
      <family val="2"/>
    </font>
    <font>
      <sz val="10"/>
      <color rgb="FF000000"/>
      <name val="Arial"/>
      <family val="2"/>
    </font>
    <font>
      <sz val="10"/>
      <color theme="0" tint="-0.34998626667073579"/>
      <name val="Arial"/>
      <family val="2"/>
    </font>
    <font>
      <sz val="10"/>
      <color theme="1"/>
      <name val="Arial"/>
      <family val="2"/>
    </font>
    <font>
      <b/>
      <sz val="10"/>
      <color theme="1"/>
      <name val="Arial"/>
      <family val="2"/>
    </font>
    <font>
      <i/>
      <sz val="11"/>
      <color theme="1"/>
      <name val="Arial"/>
      <family val="2"/>
    </font>
    <font>
      <b/>
      <sz val="16"/>
      <color theme="1"/>
      <name val="Arial"/>
      <family val="2"/>
    </font>
    <font>
      <sz val="16"/>
      <color theme="1"/>
      <name val="Arial"/>
      <family val="2"/>
    </font>
    <font>
      <i/>
      <sz val="10"/>
      <color theme="1"/>
      <name val="Arial"/>
      <family val="2"/>
    </font>
    <font>
      <sz val="9"/>
      <color theme="1"/>
      <name val="Arial"/>
      <family val="2"/>
    </font>
    <font>
      <b/>
      <sz val="9"/>
      <color theme="1"/>
      <name val="Arial"/>
      <family val="2"/>
    </font>
    <font>
      <b/>
      <sz val="12"/>
      <color rgb="FF000000"/>
      <name val="Arial"/>
      <family val="2"/>
    </font>
    <font>
      <b/>
      <sz val="14"/>
      <color rgb="FF000000"/>
      <name val="Arial"/>
      <family val="2"/>
    </font>
    <font>
      <b/>
      <sz val="12"/>
      <color rgb="FFFF0000"/>
      <name val="Arial"/>
      <family val="2"/>
    </font>
    <font>
      <b/>
      <i/>
      <sz val="12"/>
      <color theme="1"/>
      <name val="Arial"/>
      <family val="2"/>
    </font>
    <font>
      <sz val="14"/>
      <color rgb="FFFF0000"/>
      <name val="Arial"/>
      <family val="2"/>
    </font>
    <font>
      <sz val="10"/>
      <color rgb="FFFF0000"/>
      <name val="Arial"/>
      <family val="2"/>
    </font>
    <font>
      <sz val="12"/>
      <color theme="0"/>
      <name val="Arial"/>
      <family val="2"/>
    </font>
    <font>
      <b/>
      <sz val="14"/>
      <color rgb="FFFF0000"/>
      <name val="Arial"/>
      <family val="2"/>
    </font>
    <font>
      <sz val="12"/>
      <color theme="1"/>
      <name val="Arial"/>
      <family val="2"/>
      <charset val="134"/>
    </font>
    <font>
      <b/>
      <sz val="12"/>
      <color theme="0" tint="-0.34998626667073579"/>
      <name val="Arial"/>
      <family val="2"/>
    </font>
    <font>
      <sz val="18"/>
      <color theme="1"/>
      <name val="Arial"/>
      <family val="2"/>
    </font>
    <font>
      <sz val="11"/>
      <color rgb="FFFF0000"/>
      <name val="Arial"/>
      <family val="2"/>
    </font>
    <font>
      <sz val="11"/>
      <color rgb="FF0070C0"/>
      <name val="Arial"/>
      <family val="2"/>
    </font>
    <font>
      <sz val="11"/>
      <color rgb="FF00B050"/>
      <name val="Arial"/>
      <family val="2"/>
    </font>
    <font>
      <b/>
      <sz val="11"/>
      <color rgb="FFFF0000"/>
      <name val="Arial"/>
      <family val="2"/>
    </font>
    <font>
      <sz val="12"/>
      <color rgb="FF00B050"/>
      <name val="Arial"/>
      <family val="2"/>
    </font>
    <font>
      <b/>
      <sz val="16"/>
      <color rgb="FF000000"/>
      <name val="Arial"/>
      <family val="2"/>
    </font>
    <font>
      <sz val="12"/>
      <color rgb="FFFF0000"/>
      <name val="Arial"/>
      <family val="2"/>
    </font>
    <font>
      <sz val="12"/>
      <color theme="9"/>
      <name val="Arial"/>
      <family val="2"/>
    </font>
    <font>
      <sz val="11"/>
      <color theme="9"/>
      <name val="Arial"/>
      <family val="2"/>
    </font>
    <font>
      <sz val="12"/>
      <color rgb="FF0070C0"/>
      <name val="Arial"/>
      <family val="2"/>
    </font>
    <font>
      <sz val="12"/>
      <color rgb="FF000000"/>
      <name val="Arial"/>
      <family val="2"/>
    </font>
    <font>
      <b/>
      <u/>
      <sz val="10"/>
      <color theme="1"/>
      <name val="Arial"/>
      <family val="2"/>
    </font>
    <font>
      <sz val="6"/>
      <color theme="1"/>
      <name val="Tahoma"/>
      <family val="2"/>
    </font>
    <font>
      <i/>
      <sz val="12"/>
      <color theme="1"/>
      <name val="Arial"/>
      <family val="2"/>
    </font>
    <font>
      <sz val="9"/>
      <color rgb="FFFF0000"/>
      <name val="Arial"/>
      <family val="2"/>
    </font>
    <font>
      <i/>
      <sz val="9"/>
      <color theme="1"/>
      <name val="Arial"/>
      <family val="2"/>
    </font>
    <font>
      <b/>
      <i/>
      <sz val="10"/>
      <color theme="1"/>
      <name val="Arial"/>
      <family val="2"/>
    </font>
    <font>
      <b/>
      <sz val="10"/>
      <color rgb="FFFF0000"/>
      <name val="Arial"/>
      <family val="2"/>
    </font>
    <font>
      <sz val="8"/>
      <color theme="1"/>
      <name val="Arial"/>
      <family val="2"/>
    </font>
    <font>
      <b/>
      <sz val="10"/>
      <color theme="3" tint="-0.249977111117893"/>
      <name val="Arial"/>
      <family val="2"/>
    </font>
    <font>
      <b/>
      <sz val="14"/>
      <color theme="3" tint="-0.249977111117893"/>
      <name val="Arial"/>
      <family val="2"/>
    </font>
    <font>
      <sz val="10"/>
      <color theme="0"/>
      <name val="Arial"/>
      <family val="2"/>
    </font>
    <font>
      <b/>
      <sz val="12"/>
      <color theme="0"/>
      <name val="Arial"/>
      <family val="2"/>
    </font>
  </fonts>
  <fills count="1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ABE3FF"/>
        <bgColor indexed="64"/>
      </patternFill>
    </fill>
    <fill>
      <patternFill patternType="solid">
        <fgColor rgb="FF11C1FF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rgb="FFFFFFFF"/>
        <bgColor rgb="FF000000"/>
      </patternFill>
    </fill>
    <fill>
      <patternFill patternType="solid">
        <fgColor rgb="FFFFCC66"/>
        <bgColor indexed="64"/>
      </patternFill>
    </fill>
    <fill>
      <patternFill patternType="solid">
        <fgColor theme="9" tint="0.39997558519241921"/>
        <bgColor rgb="FF000000"/>
      </patternFill>
    </fill>
    <fill>
      <patternFill patternType="solid">
        <fgColor theme="7" tint="0.39997558519241921"/>
        <bgColor indexed="64"/>
      </patternFill>
    </fill>
    <fill>
      <patternFill patternType="solid">
        <fgColor theme="0" tint="-0.14999847407452621"/>
        <bgColor rgb="FF000000"/>
      </patternFill>
    </fill>
    <fill>
      <patternFill patternType="solid">
        <fgColor theme="7" tint="0.59999389629810485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 tint="-0.14999847407452621"/>
        <bgColor indexed="64"/>
      </patternFill>
    </fill>
  </fills>
  <borders count="257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hair">
        <color indexed="64"/>
      </bottom>
      <diagonal/>
    </border>
    <border>
      <left/>
      <right/>
      <top style="hair">
        <color indexed="64"/>
      </top>
      <bottom style="hair">
        <color indexed="64"/>
      </bottom>
      <diagonal/>
    </border>
    <border>
      <left/>
      <right/>
      <top/>
      <bottom style="hair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hair">
        <color indexed="64"/>
      </top>
      <bottom/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medium">
        <color theme="0" tint="-0.249977111117893"/>
      </left>
      <right/>
      <top/>
      <bottom/>
      <diagonal/>
    </border>
    <border>
      <left/>
      <right style="medium">
        <color theme="0" tint="-0.249977111117893"/>
      </right>
      <top/>
      <bottom/>
      <diagonal/>
    </border>
    <border>
      <left style="medium">
        <color theme="0" tint="-0.249977111117893"/>
      </left>
      <right/>
      <top style="medium">
        <color theme="0" tint="-0.249977111117893"/>
      </top>
      <bottom/>
      <diagonal/>
    </border>
    <border>
      <left/>
      <right/>
      <top style="medium">
        <color theme="0" tint="-0.249977111117893"/>
      </top>
      <bottom/>
      <diagonal/>
    </border>
    <border>
      <left/>
      <right style="medium">
        <color theme="0" tint="-0.249977111117893"/>
      </right>
      <top style="medium">
        <color theme="0" tint="-0.249977111117893"/>
      </top>
      <bottom/>
      <diagonal/>
    </border>
    <border>
      <left style="medium">
        <color theme="0" tint="-0.249977111117893"/>
      </left>
      <right/>
      <top/>
      <bottom style="medium">
        <color theme="0" tint="-0.249977111117893"/>
      </bottom>
      <diagonal/>
    </border>
    <border>
      <left/>
      <right/>
      <top/>
      <bottom style="medium">
        <color theme="0" tint="-0.249977111117893"/>
      </bottom>
      <diagonal/>
    </border>
    <border>
      <left/>
      <right style="medium">
        <color theme="0" tint="-0.249977111117893"/>
      </right>
      <top/>
      <bottom style="medium">
        <color theme="0" tint="-0.249977111117893"/>
      </bottom>
      <diagonal/>
    </border>
    <border>
      <left/>
      <right/>
      <top/>
      <bottom style="thin">
        <color theme="0" tint="-0.34998626667073579"/>
      </bottom>
      <diagonal/>
    </border>
    <border>
      <left/>
      <right/>
      <top style="thin">
        <color theme="0" tint="-0.34998626667073579"/>
      </top>
      <bottom style="medium">
        <color theme="0" tint="-0.34998626667073579"/>
      </bottom>
      <diagonal/>
    </border>
    <border>
      <left/>
      <right/>
      <top/>
      <bottom style="medium">
        <color theme="0" tint="-0.34998626667073579"/>
      </bottom>
      <diagonal/>
    </border>
    <border>
      <left style="thin">
        <color theme="0" tint="-0.34998626667073579"/>
      </left>
      <right style="thin">
        <color theme="0" tint="-0.34998626667073579"/>
      </right>
      <top style="thin">
        <color theme="0" tint="-0.34998626667073579"/>
      </top>
      <bottom style="medium">
        <color theme="0" tint="-0.34998626667073579"/>
      </bottom>
      <diagonal/>
    </border>
    <border>
      <left style="thin">
        <color theme="0" tint="-0.249977111117893"/>
      </left>
      <right style="thin">
        <color theme="0" tint="-0.249977111117893"/>
      </right>
      <top/>
      <bottom/>
      <diagonal/>
    </border>
    <border>
      <left style="thin">
        <color theme="0" tint="-0.249977111117893"/>
      </left>
      <right style="thin">
        <color theme="0" tint="-0.249977111117893"/>
      </right>
      <top/>
      <bottom style="thin">
        <color theme="0" tint="-0.34998626667073579"/>
      </bottom>
      <diagonal/>
    </border>
    <border>
      <left style="thin">
        <color theme="0" tint="-0.249977111117893"/>
      </left>
      <right style="thin">
        <color theme="0" tint="-0.249977111117893"/>
      </right>
      <top/>
      <bottom style="medium">
        <color theme="0" tint="-0.34998626667073579"/>
      </bottom>
      <diagonal/>
    </border>
    <border>
      <left style="thin">
        <color theme="0" tint="-0.34998626667073579"/>
      </left>
      <right/>
      <top/>
      <bottom/>
      <diagonal/>
    </border>
    <border>
      <left style="thin">
        <color theme="0" tint="-0.249977111117893"/>
      </left>
      <right style="thin">
        <color theme="0" tint="-0.34998626667073579"/>
      </right>
      <top/>
      <bottom/>
      <diagonal/>
    </border>
    <border>
      <left style="thin">
        <color theme="0" tint="-0.34998626667073579"/>
      </left>
      <right/>
      <top/>
      <bottom style="thin">
        <color theme="0" tint="-0.34998626667073579"/>
      </bottom>
      <diagonal/>
    </border>
    <border>
      <left style="thin">
        <color theme="0" tint="-0.249977111117893"/>
      </left>
      <right style="thin">
        <color theme="0" tint="-0.34998626667073579"/>
      </right>
      <top/>
      <bottom style="thin">
        <color theme="0" tint="-0.34998626667073579"/>
      </bottom>
      <diagonal/>
    </border>
    <border>
      <left style="thin">
        <color theme="0" tint="-0.34998626667073579"/>
      </left>
      <right/>
      <top/>
      <bottom style="medium">
        <color theme="0" tint="-0.34998626667073579"/>
      </bottom>
      <diagonal/>
    </border>
    <border>
      <left style="thin">
        <color theme="0" tint="-0.249977111117893"/>
      </left>
      <right style="thin">
        <color theme="0" tint="-0.34998626667073579"/>
      </right>
      <top/>
      <bottom style="medium">
        <color theme="0" tint="-0.34998626667073579"/>
      </bottom>
      <diagonal/>
    </border>
    <border>
      <left style="thin">
        <color theme="0" tint="-0.249977111117893"/>
      </left>
      <right/>
      <top style="thin">
        <color theme="0" tint="-0.249977111117893"/>
      </top>
      <bottom style="medium">
        <color theme="0" tint="-0.249977111117893"/>
      </bottom>
      <diagonal/>
    </border>
    <border>
      <left/>
      <right/>
      <top style="thin">
        <color theme="0" tint="-0.249977111117893"/>
      </top>
      <bottom style="medium">
        <color theme="0" tint="-0.249977111117893"/>
      </bottom>
      <diagonal/>
    </border>
    <border>
      <left/>
      <right style="thin">
        <color theme="0" tint="-0.249977111117893"/>
      </right>
      <top style="thin">
        <color theme="0" tint="-0.249977111117893"/>
      </top>
      <bottom style="medium">
        <color theme="0" tint="-0.249977111117893"/>
      </bottom>
      <diagonal/>
    </border>
    <border>
      <left style="thin">
        <color theme="0" tint="-0.249977111117893"/>
      </left>
      <right style="thin">
        <color theme="0" tint="-0.249977111117893"/>
      </right>
      <top style="thin">
        <color theme="0" tint="-0.249977111117893"/>
      </top>
      <bottom style="hair">
        <color theme="0" tint="-0.249977111117893"/>
      </bottom>
      <diagonal/>
    </border>
    <border>
      <left style="thin">
        <color theme="0" tint="-0.249977111117893"/>
      </left>
      <right style="thin">
        <color theme="0" tint="-0.249977111117893"/>
      </right>
      <top style="thin">
        <color theme="0" tint="-0.249977111117893"/>
      </top>
      <bottom style="medium">
        <color theme="0" tint="-0.249977111117893"/>
      </bottom>
      <diagonal/>
    </border>
    <border>
      <left style="thin">
        <color theme="0" tint="-0.249977111117893"/>
      </left>
      <right style="thin">
        <color theme="0" tint="-0.249977111117893"/>
      </right>
      <top style="hair">
        <color theme="0" tint="-0.249977111117893"/>
      </top>
      <bottom style="hair">
        <color theme="0" tint="-0.249977111117893"/>
      </bottom>
      <diagonal/>
    </border>
    <border>
      <left style="thin">
        <color theme="0" tint="-0.249977111117893"/>
      </left>
      <right style="thin">
        <color theme="0" tint="-0.249977111117893"/>
      </right>
      <top style="hair">
        <color theme="0" tint="-0.249977111117893"/>
      </top>
      <bottom style="thin">
        <color theme="0" tint="-0.249977111117893"/>
      </bottom>
      <diagonal/>
    </border>
    <border>
      <left/>
      <right style="thin">
        <color theme="0" tint="-0.249977111117893"/>
      </right>
      <top style="hair">
        <color theme="0" tint="-0.249977111117893"/>
      </top>
      <bottom style="thin">
        <color theme="0" tint="-0.249977111117893"/>
      </bottom>
      <diagonal/>
    </border>
    <border>
      <left/>
      <right/>
      <top style="thin">
        <color theme="0" tint="-0.249977111117893"/>
      </top>
      <bottom style="thin">
        <color theme="0" tint="-0.249977111117893"/>
      </bottom>
      <diagonal/>
    </border>
    <border>
      <left style="thin">
        <color theme="0" tint="-0.249977111117893"/>
      </left>
      <right style="thin">
        <color theme="0" tint="-0.249977111117893"/>
      </right>
      <top/>
      <bottom style="hair">
        <color theme="0" tint="-0.249977111117893"/>
      </bottom>
      <diagonal/>
    </border>
    <border>
      <left/>
      <right style="thin">
        <color theme="0" tint="-0.249977111117893"/>
      </right>
      <top/>
      <bottom style="hair">
        <color theme="0" tint="-0.249977111117893"/>
      </bottom>
      <diagonal/>
    </border>
    <border>
      <left style="thin">
        <color theme="0" tint="-0.249977111117893"/>
      </left>
      <right/>
      <top style="thin">
        <color theme="0" tint="-0.249977111117893"/>
      </top>
      <bottom style="thin">
        <color theme="0" tint="-0.249977111117893"/>
      </bottom>
      <diagonal/>
    </border>
    <border>
      <left style="thin">
        <color theme="0" tint="-0.249977111117893"/>
      </left>
      <right style="thin">
        <color theme="0" tint="-0.249977111117893"/>
      </right>
      <top style="thin">
        <color theme="0" tint="-0.249977111117893"/>
      </top>
      <bottom style="thin">
        <color theme="0" tint="-0.249977111117893"/>
      </bottom>
      <diagonal/>
    </border>
    <border>
      <left style="thin">
        <color theme="0" tint="-0.249977111117893"/>
      </left>
      <right/>
      <top style="thin">
        <color theme="0" tint="-0.249977111117893"/>
      </top>
      <bottom/>
      <diagonal/>
    </border>
    <border>
      <left/>
      <right style="thin">
        <color theme="0" tint="-0.249977111117893"/>
      </right>
      <top style="thin">
        <color theme="0" tint="-0.249977111117893"/>
      </top>
      <bottom/>
      <diagonal/>
    </border>
    <border>
      <left style="thin">
        <color theme="0" tint="-0.249977111117893"/>
      </left>
      <right style="thin">
        <color theme="0" tint="-0.249977111117893"/>
      </right>
      <top style="thin">
        <color theme="0" tint="-0.249977111117893"/>
      </top>
      <bottom/>
      <diagonal/>
    </border>
    <border>
      <left style="thin">
        <color theme="0" tint="-0.249977111117893"/>
      </left>
      <right/>
      <top/>
      <bottom style="thin">
        <color theme="0" tint="-0.249977111117893"/>
      </bottom>
      <diagonal/>
    </border>
    <border>
      <left/>
      <right style="thin">
        <color theme="0" tint="-0.249977111117893"/>
      </right>
      <top/>
      <bottom style="thin">
        <color theme="0" tint="-0.249977111117893"/>
      </bottom>
      <diagonal/>
    </border>
    <border>
      <left style="thin">
        <color theme="0" tint="-0.249977111117893"/>
      </left>
      <right style="thin">
        <color theme="0" tint="-0.249977111117893"/>
      </right>
      <top/>
      <bottom style="thin">
        <color theme="0" tint="-0.249977111117893"/>
      </bottom>
      <diagonal/>
    </border>
    <border>
      <left style="thin">
        <color theme="0" tint="-0.249977111117893"/>
      </left>
      <right style="hair">
        <color theme="0" tint="-0.249977111117893"/>
      </right>
      <top style="thin">
        <color theme="0" tint="-0.249977111117893"/>
      </top>
      <bottom style="thin">
        <color theme="0" tint="-0.249977111117893"/>
      </bottom>
      <diagonal/>
    </border>
    <border>
      <left style="hair">
        <color theme="0" tint="-0.249977111117893"/>
      </left>
      <right style="hair">
        <color theme="0" tint="-0.249977111117893"/>
      </right>
      <top style="thin">
        <color theme="0" tint="-0.249977111117893"/>
      </top>
      <bottom style="thin">
        <color theme="0" tint="-0.249977111117893"/>
      </bottom>
      <diagonal/>
    </border>
    <border>
      <left style="hair">
        <color theme="0" tint="-0.249977111117893"/>
      </left>
      <right style="thin">
        <color theme="0" tint="-0.249977111117893"/>
      </right>
      <top style="thin">
        <color theme="0" tint="-0.249977111117893"/>
      </top>
      <bottom style="thin">
        <color theme="0" tint="-0.249977111117893"/>
      </bottom>
      <diagonal/>
    </border>
    <border>
      <left/>
      <right style="thin">
        <color theme="0" tint="-0.249977111117893"/>
      </right>
      <top style="thin">
        <color theme="0" tint="-0.249977111117893"/>
      </top>
      <bottom style="thin">
        <color theme="0" tint="-0.249977111117893"/>
      </bottom>
      <diagonal/>
    </border>
    <border>
      <left style="thin">
        <color theme="0" tint="-0.34998626667073579"/>
      </left>
      <right/>
      <top style="thin">
        <color theme="0" tint="-0.34998626667073579"/>
      </top>
      <bottom/>
      <diagonal/>
    </border>
    <border>
      <left/>
      <right/>
      <top style="thin">
        <color theme="0" tint="-0.34998626667073579"/>
      </top>
      <bottom/>
      <diagonal/>
    </border>
    <border>
      <left style="thin">
        <color theme="0" tint="-0.249977111117893"/>
      </left>
      <right/>
      <top/>
      <bottom/>
      <diagonal/>
    </border>
    <border>
      <left style="hair">
        <color theme="0" tint="-0.249977111117893"/>
      </left>
      <right style="hair">
        <color theme="0" tint="-0.249977111117893"/>
      </right>
      <top style="thin">
        <color theme="0" tint="-0.249977111117893"/>
      </top>
      <bottom style="medium">
        <color theme="0" tint="-0.249977111117893"/>
      </bottom>
      <diagonal/>
    </border>
    <border>
      <left style="hair">
        <color theme="0" tint="-0.249977111117893"/>
      </left>
      <right style="thin">
        <color theme="0" tint="-0.249977111117893"/>
      </right>
      <top style="thin">
        <color theme="0" tint="-0.249977111117893"/>
      </top>
      <bottom style="medium">
        <color theme="0" tint="-0.249977111117893"/>
      </bottom>
      <diagonal/>
    </border>
    <border>
      <left style="thin">
        <color theme="0" tint="-0.249977111117893"/>
      </left>
      <right style="hair">
        <color theme="0" tint="-0.249977111117893"/>
      </right>
      <top style="thin">
        <color theme="0" tint="-0.249977111117893"/>
      </top>
      <bottom style="medium">
        <color theme="0" tint="-0.249977111117893"/>
      </bottom>
      <diagonal/>
    </border>
    <border>
      <left/>
      <right/>
      <top style="thin">
        <color theme="0" tint="-0.249977111117893"/>
      </top>
      <bottom/>
      <diagonal/>
    </border>
    <border>
      <left/>
      <right/>
      <top/>
      <bottom style="thin">
        <color theme="0" tint="-0.249977111117893"/>
      </bottom>
      <diagonal/>
    </border>
    <border>
      <left style="hair">
        <color theme="0" tint="-0.249977111117893"/>
      </left>
      <right style="thin">
        <color theme="0" tint="-0.249977111117893"/>
      </right>
      <top/>
      <bottom style="thin">
        <color theme="0" tint="-0.249977111117893"/>
      </bottom>
      <diagonal/>
    </border>
    <border>
      <left style="hair">
        <color theme="0" tint="-0.249977111117893"/>
      </left>
      <right style="thin">
        <color theme="0" tint="-0.249977111117893"/>
      </right>
      <top/>
      <bottom/>
      <diagonal/>
    </border>
    <border>
      <left/>
      <right style="thin">
        <color theme="0" tint="-0.249977111117893"/>
      </right>
      <top/>
      <bottom/>
      <diagonal/>
    </border>
    <border>
      <left/>
      <right style="thin">
        <color rgb="FFBFBFBF"/>
      </right>
      <top style="thin">
        <color rgb="FFBFBFBF"/>
      </top>
      <bottom style="medium">
        <color rgb="FFBFBFBF"/>
      </bottom>
      <diagonal/>
    </border>
    <border>
      <left/>
      <right style="thin">
        <color theme="0" tint="-0.34998626667073579"/>
      </right>
      <top/>
      <bottom/>
      <diagonal/>
    </border>
    <border>
      <left/>
      <right style="thin">
        <color theme="0" tint="-0.34998626667073579"/>
      </right>
      <top/>
      <bottom style="medium">
        <color theme="0" tint="-0.34998626667073579"/>
      </bottom>
      <diagonal/>
    </border>
    <border>
      <left style="thin">
        <color theme="0" tint="-0.34998626667073579"/>
      </left>
      <right style="thin">
        <color theme="0" tint="-0.34998626667073579"/>
      </right>
      <top/>
      <bottom/>
      <diagonal/>
    </border>
    <border>
      <left style="thin">
        <color theme="0" tint="-0.34998626667073579"/>
      </left>
      <right style="thin">
        <color theme="0" tint="-0.34998626667073579"/>
      </right>
      <top/>
      <bottom style="thin">
        <color theme="0" tint="-0.34998626667073579"/>
      </bottom>
      <diagonal/>
    </border>
    <border>
      <left style="thin">
        <color theme="0" tint="-0.34998626667073579"/>
      </left>
      <right style="thin">
        <color theme="0" tint="-0.34998626667073579"/>
      </right>
      <top/>
      <bottom style="medium">
        <color theme="0" tint="-0.34998626667073579"/>
      </bottom>
      <diagonal/>
    </border>
    <border>
      <left style="thin">
        <color theme="0" tint="-0.34998626667073579"/>
      </left>
      <right style="thin">
        <color theme="0" tint="-0.249977111117893"/>
      </right>
      <top/>
      <bottom/>
      <diagonal/>
    </border>
    <border>
      <left style="thin">
        <color theme="0" tint="-0.34998626667073579"/>
      </left>
      <right style="thin">
        <color theme="0" tint="-0.249977111117893"/>
      </right>
      <top/>
      <bottom style="thin">
        <color theme="0" tint="-0.34998626667073579"/>
      </bottom>
      <diagonal/>
    </border>
    <border>
      <left style="thin">
        <color theme="0" tint="-0.34998626667073579"/>
      </left>
      <right style="thin">
        <color theme="0" tint="-0.249977111117893"/>
      </right>
      <top/>
      <bottom style="medium">
        <color theme="0" tint="-0.34998626667073579"/>
      </bottom>
      <diagonal/>
    </border>
    <border>
      <left style="thin">
        <color theme="0" tint="-0.34998626667073579"/>
      </left>
      <right style="thin">
        <color theme="0" tint="-0.34998626667073579"/>
      </right>
      <top style="thin">
        <color theme="0" tint="-0.249977111117893"/>
      </top>
      <bottom/>
      <diagonal/>
    </border>
    <border>
      <left style="thin">
        <color theme="0" tint="-0.34998626667073579"/>
      </left>
      <right style="thin">
        <color theme="0" tint="-0.249977111117893"/>
      </right>
      <top style="thin">
        <color theme="0" tint="-0.249977111117893"/>
      </top>
      <bottom/>
      <diagonal/>
    </border>
    <border>
      <left style="thin">
        <color theme="0" tint="-0.249977111117893"/>
      </left>
      <right/>
      <top/>
      <bottom style="thin">
        <color theme="0" tint="-0.34998626667073579"/>
      </bottom>
      <diagonal/>
    </border>
    <border>
      <left/>
      <right style="thin">
        <color theme="0" tint="-0.249977111117893"/>
      </right>
      <top/>
      <bottom style="thin">
        <color theme="0" tint="-0.34998626667073579"/>
      </bottom>
      <diagonal/>
    </border>
    <border>
      <left style="thin">
        <color theme="0" tint="-0.249977111117893"/>
      </left>
      <right/>
      <top/>
      <bottom style="medium">
        <color theme="0" tint="-0.34998626667073579"/>
      </bottom>
      <diagonal/>
    </border>
    <border>
      <left style="thin">
        <color theme="0" tint="-0.249977111117893"/>
      </left>
      <right/>
      <top style="thin">
        <color theme="0" tint="-0.34998626667073579"/>
      </top>
      <bottom style="medium">
        <color theme="0" tint="-0.34998626667073579"/>
      </bottom>
      <diagonal/>
    </border>
    <border>
      <left style="thin">
        <color theme="0" tint="-0.249977111117893"/>
      </left>
      <right style="thin">
        <color theme="0" tint="-0.249977111117893"/>
      </right>
      <top style="thin">
        <color theme="0" tint="-0.34998626667073579"/>
      </top>
      <bottom style="medium">
        <color theme="0" tint="-0.34998626667073579"/>
      </bottom>
      <diagonal/>
    </border>
    <border>
      <left style="thin">
        <color theme="0" tint="-0.249977111117893"/>
      </left>
      <right style="thin">
        <color theme="0" tint="-0.249977111117893"/>
      </right>
      <top style="medium">
        <color theme="0" tint="-0.34998626667073579"/>
      </top>
      <bottom/>
      <diagonal/>
    </border>
    <border>
      <left style="thin">
        <color theme="0" tint="-0.34998626667073579"/>
      </left>
      <right style="thin">
        <color theme="0" tint="-0.34998626667073579"/>
      </right>
      <top style="thin">
        <color theme="0" tint="-0.34998626667073579"/>
      </top>
      <bottom/>
      <diagonal/>
    </border>
    <border>
      <left style="thin">
        <color theme="0" tint="-0.24994659260841701"/>
      </left>
      <right/>
      <top style="thin">
        <color theme="0" tint="-0.24994659260841701"/>
      </top>
      <bottom/>
      <diagonal/>
    </border>
    <border>
      <left/>
      <right/>
      <top style="thin">
        <color theme="0" tint="-0.24994659260841701"/>
      </top>
      <bottom/>
      <diagonal/>
    </border>
    <border>
      <left style="thin">
        <color theme="0" tint="-0.24994659260841701"/>
      </left>
      <right/>
      <top/>
      <bottom/>
      <diagonal/>
    </border>
    <border>
      <left style="thin">
        <color theme="0" tint="-0.24994659260841701"/>
      </left>
      <right/>
      <top/>
      <bottom style="thin">
        <color theme="0" tint="-0.34998626667073579"/>
      </bottom>
      <diagonal/>
    </border>
    <border>
      <left style="thin">
        <color theme="0" tint="-0.24994659260841701"/>
      </left>
      <right/>
      <top/>
      <bottom style="medium">
        <color theme="0" tint="-0.34998626667073579"/>
      </bottom>
      <diagonal/>
    </border>
    <border>
      <left style="thin">
        <color theme="0" tint="-0.24994659260841701"/>
      </left>
      <right/>
      <top/>
      <bottom style="thin">
        <color theme="0" tint="-0.24994659260841701"/>
      </bottom>
      <diagonal/>
    </border>
    <border>
      <left/>
      <right/>
      <top/>
      <bottom style="thin">
        <color theme="0" tint="-0.24994659260841701"/>
      </bottom>
      <diagonal/>
    </border>
    <border>
      <left style="thin">
        <color theme="0" tint="-0.24994659260841701"/>
      </left>
      <right style="thin">
        <color theme="0" tint="-0.24994659260841701"/>
      </right>
      <top/>
      <bottom/>
      <diagonal/>
    </border>
    <border>
      <left style="thin">
        <color theme="0" tint="-0.24994659260841701"/>
      </left>
      <right style="thin">
        <color theme="0" tint="-0.24994659260841701"/>
      </right>
      <top/>
      <bottom style="thin">
        <color theme="0" tint="-0.34998626667073579"/>
      </bottom>
      <diagonal/>
    </border>
    <border>
      <left style="thin">
        <color theme="0" tint="-0.24994659260841701"/>
      </left>
      <right style="thin">
        <color theme="0" tint="-0.24994659260841701"/>
      </right>
      <top/>
      <bottom style="medium">
        <color theme="0" tint="-0.34998626667073579"/>
      </bottom>
      <diagonal/>
    </border>
    <border>
      <left style="thin">
        <color theme="0" tint="-0.24994659260841701"/>
      </left>
      <right/>
      <top style="thin">
        <color theme="0" tint="-0.24994659260841701"/>
      </top>
      <bottom style="medium">
        <color theme="0" tint="-0.34998626667073579"/>
      </bottom>
      <diagonal/>
    </border>
    <border>
      <left/>
      <right/>
      <top style="thin">
        <color theme="0" tint="-0.24994659260841701"/>
      </top>
      <bottom style="medium">
        <color theme="0" tint="-0.34998626667073579"/>
      </bottom>
      <diagonal/>
    </border>
    <border>
      <left style="thin">
        <color theme="0" tint="-0.24994659260841701"/>
      </left>
      <right style="thin">
        <color theme="0" tint="-0.24994659260841701"/>
      </right>
      <top style="thin">
        <color theme="0" tint="-0.24994659260841701"/>
      </top>
      <bottom style="medium">
        <color theme="0" tint="-0.34998626667073579"/>
      </bottom>
      <diagonal/>
    </border>
    <border>
      <left/>
      <right style="hair">
        <color theme="0" tint="-0.249977111117893"/>
      </right>
      <top style="thin">
        <color theme="0" tint="-0.249977111117893"/>
      </top>
      <bottom style="medium">
        <color theme="0" tint="-0.249977111117893"/>
      </bottom>
      <diagonal/>
    </border>
    <border>
      <left style="hair">
        <color theme="0" tint="-0.249977111117893"/>
      </left>
      <right style="thin">
        <color theme="0" tint="-0.249977111117893"/>
      </right>
      <top/>
      <bottom style="hair">
        <color theme="0" tint="-0.249977111117893"/>
      </bottom>
      <diagonal/>
    </border>
    <border>
      <left style="thin">
        <color theme="0" tint="-0.249977111117893"/>
      </left>
      <right/>
      <top style="thin">
        <color theme="0" tint="-0.249977111117893"/>
      </top>
      <bottom style="hair">
        <color theme="0" tint="-0.249977111117893"/>
      </bottom>
      <diagonal/>
    </border>
    <border>
      <left/>
      <right style="thin">
        <color theme="0" tint="-0.249977111117893"/>
      </right>
      <top style="thin">
        <color theme="0" tint="-0.249977111117893"/>
      </top>
      <bottom style="hair">
        <color theme="0" tint="-0.249977111117893"/>
      </bottom>
      <diagonal/>
    </border>
    <border>
      <left style="thin">
        <color theme="0" tint="-0.249977111117893"/>
      </left>
      <right/>
      <top style="hair">
        <color theme="0" tint="-0.249977111117893"/>
      </top>
      <bottom style="thin">
        <color theme="0" tint="-0.249977111117893"/>
      </bottom>
      <diagonal/>
    </border>
    <border>
      <left style="thin">
        <color theme="0" tint="-0.249977111117893"/>
      </left>
      <right/>
      <top style="hair">
        <color theme="0" tint="-0.249977111117893"/>
      </top>
      <bottom style="hair">
        <color theme="0" tint="-0.249977111117893"/>
      </bottom>
      <diagonal/>
    </border>
    <border>
      <left/>
      <right style="thin">
        <color theme="0" tint="-0.249977111117893"/>
      </right>
      <top style="hair">
        <color theme="0" tint="-0.249977111117893"/>
      </top>
      <bottom style="hair">
        <color theme="0" tint="-0.249977111117893"/>
      </bottom>
      <diagonal/>
    </border>
    <border>
      <left/>
      <right/>
      <top/>
      <bottom style="hair">
        <color theme="0" tint="-0.249977111117893"/>
      </bottom>
      <diagonal/>
    </border>
    <border>
      <left/>
      <right/>
      <top style="hair">
        <color theme="0" tint="-0.249977111117893"/>
      </top>
      <bottom style="hair">
        <color theme="0" tint="-0.249977111117893"/>
      </bottom>
      <diagonal/>
    </border>
    <border>
      <left style="medium">
        <color theme="0" tint="-0.249977111117893"/>
      </left>
      <right style="thin">
        <color theme="0" tint="-0.249977111117893"/>
      </right>
      <top/>
      <bottom style="thin">
        <color theme="0" tint="-0.249977111117893"/>
      </bottom>
      <diagonal/>
    </border>
    <border>
      <left style="thin">
        <color theme="0" tint="-0.249977111117893"/>
      </left>
      <right style="medium">
        <color theme="0" tint="-0.249977111117893"/>
      </right>
      <top style="thin">
        <color theme="0" tint="-0.249977111117893"/>
      </top>
      <bottom style="thin">
        <color theme="0" tint="-0.249977111117893"/>
      </bottom>
      <diagonal/>
    </border>
    <border>
      <left style="medium">
        <color theme="0" tint="-0.249977111117893"/>
      </left>
      <right style="thin">
        <color theme="0" tint="-0.249977111117893"/>
      </right>
      <top style="thin">
        <color theme="0" tint="-0.249977111117893"/>
      </top>
      <bottom style="thin">
        <color theme="0" tint="-0.249977111117893"/>
      </bottom>
      <diagonal/>
    </border>
    <border>
      <left style="medium">
        <color theme="0" tint="-0.249977111117893"/>
      </left>
      <right style="thin">
        <color theme="0" tint="-0.249977111117893"/>
      </right>
      <top style="thin">
        <color theme="0" tint="-0.249977111117893"/>
      </top>
      <bottom style="medium">
        <color theme="0" tint="-0.249977111117893"/>
      </bottom>
      <diagonal/>
    </border>
    <border>
      <left style="medium">
        <color theme="0" tint="-0.249977111117893"/>
      </left>
      <right style="thin">
        <color theme="0" tint="-0.249977111117893"/>
      </right>
      <top/>
      <bottom/>
      <diagonal/>
    </border>
    <border>
      <left style="thin">
        <color theme="0" tint="-0.249977111117893"/>
      </left>
      <right style="medium">
        <color theme="0" tint="-0.249977111117893"/>
      </right>
      <top style="thin">
        <color theme="0" tint="-0.249977111117893"/>
      </top>
      <bottom style="medium">
        <color theme="0" tint="-0.249977111117893"/>
      </bottom>
      <diagonal/>
    </border>
    <border>
      <left style="thin">
        <color theme="0" tint="-0.249977111117893"/>
      </left>
      <right style="hair">
        <color theme="0" tint="-0.249977111117893"/>
      </right>
      <top style="hair">
        <color theme="0" tint="-0.249977111117893"/>
      </top>
      <bottom style="thin">
        <color theme="0" tint="-0.249977111117893"/>
      </bottom>
      <diagonal/>
    </border>
    <border>
      <left style="thin">
        <color theme="0" tint="-0.249977111117893"/>
      </left>
      <right/>
      <top/>
      <bottom style="hair">
        <color theme="0" tint="-0.249977111117893"/>
      </bottom>
      <diagonal/>
    </border>
    <border>
      <left style="thin">
        <color theme="0" tint="-0.249977111117893"/>
      </left>
      <right/>
      <top style="thin">
        <color theme="0" tint="-0.249977111117893"/>
      </top>
      <bottom style="thick">
        <color theme="0" tint="-0.249977111117893"/>
      </bottom>
      <diagonal/>
    </border>
    <border>
      <left/>
      <right/>
      <top style="thin">
        <color theme="0" tint="-0.249977111117893"/>
      </top>
      <bottom style="thick">
        <color theme="0" tint="-0.249977111117893"/>
      </bottom>
      <diagonal/>
    </border>
    <border>
      <left/>
      <right style="thin">
        <color theme="0" tint="-0.249977111117893"/>
      </right>
      <top style="hair">
        <color theme="0" tint="-0.249977111117893"/>
      </top>
      <bottom style="medium">
        <color theme="0" tint="-0.249977111117893"/>
      </bottom>
      <diagonal/>
    </border>
    <border>
      <left style="thin">
        <color theme="0" tint="-0.249977111117893"/>
      </left>
      <right/>
      <top style="hair">
        <color theme="0" tint="-0.249977111117893"/>
      </top>
      <bottom style="medium">
        <color theme="0" tint="-0.249977111117893"/>
      </bottom>
      <diagonal/>
    </border>
    <border>
      <left style="thin">
        <color theme="0" tint="-0.249977111117893"/>
      </left>
      <right style="thin">
        <color theme="0" tint="-0.249977111117893"/>
      </right>
      <top style="thin">
        <color theme="0" tint="-0.34998626667073579"/>
      </top>
      <bottom/>
      <diagonal/>
    </border>
    <border>
      <left style="thin">
        <color theme="0" tint="-0.249977111117893"/>
      </left>
      <right/>
      <top style="thin">
        <color theme="0" tint="-0.34998626667073579"/>
      </top>
      <bottom/>
      <diagonal/>
    </border>
    <border>
      <left style="thin">
        <color theme="0" tint="-0.34998626667073579"/>
      </left>
      <right style="thin">
        <color theme="0" tint="-0.34998626667073579"/>
      </right>
      <top style="thin">
        <color theme="0" tint="-0.34998626667073579"/>
      </top>
      <bottom style="hair">
        <color theme="0" tint="-0.34998626667073579"/>
      </bottom>
      <diagonal/>
    </border>
    <border>
      <left style="thin">
        <color theme="0" tint="-0.34998626667073579"/>
      </left>
      <right style="thin">
        <color theme="0" tint="-0.34998626667073579"/>
      </right>
      <top style="hair">
        <color theme="0" tint="-0.34998626667073579"/>
      </top>
      <bottom style="hair">
        <color theme="0" tint="-0.34998626667073579"/>
      </bottom>
      <diagonal/>
    </border>
    <border>
      <left style="thin">
        <color theme="0" tint="-0.249977111117893"/>
      </left>
      <right style="thin">
        <color theme="0" tint="-0.249977111117893"/>
      </right>
      <top style="thin">
        <color theme="0" tint="-0.249977111117893"/>
      </top>
      <bottom style="thick">
        <color theme="0" tint="-0.249977111117893"/>
      </bottom>
      <diagonal/>
    </border>
    <border>
      <left style="thin">
        <color theme="0" tint="-0.249977111117893"/>
      </left>
      <right/>
      <top style="medium">
        <color theme="0" tint="-0.249977111117893"/>
      </top>
      <bottom style="hair">
        <color theme="0" tint="-0.249977111117893"/>
      </bottom>
      <diagonal/>
    </border>
    <border>
      <left style="thin">
        <color theme="0" tint="-0.249977111117893"/>
      </left>
      <right style="thin">
        <color theme="0" tint="-0.249977111117893"/>
      </right>
      <top style="medium">
        <color theme="0" tint="-0.249977111117893"/>
      </top>
      <bottom style="hair">
        <color theme="0" tint="-0.249977111117893"/>
      </bottom>
      <diagonal/>
    </border>
    <border>
      <left style="thin">
        <color theme="0" tint="-0.249977111117893"/>
      </left>
      <right style="thin">
        <color theme="0" tint="-0.249977111117893"/>
      </right>
      <top style="hair">
        <color theme="0" tint="-0.249977111117893"/>
      </top>
      <bottom/>
      <diagonal/>
    </border>
    <border>
      <left style="thin">
        <color indexed="64"/>
      </left>
      <right style="thin">
        <color theme="0" tint="-0.249977111117893"/>
      </right>
      <top style="thin">
        <color indexed="64"/>
      </top>
      <bottom style="thin">
        <color indexed="64"/>
      </bottom>
      <diagonal/>
    </border>
    <border>
      <left/>
      <right/>
      <top style="thin">
        <color theme="0" tint="-0.34998626667073579"/>
      </top>
      <bottom style="hair">
        <color theme="0" tint="-0.34998626667073579"/>
      </bottom>
      <diagonal/>
    </border>
    <border>
      <left/>
      <right/>
      <top style="hair">
        <color theme="0" tint="-0.34998626667073579"/>
      </top>
      <bottom style="hair">
        <color theme="0" tint="-0.34998626667073579"/>
      </bottom>
      <diagonal/>
    </border>
    <border>
      <left style="medium">
        <color theme="0" tint="-0.249977111117893"/>
      </left>
      <right style="thin">
        <color theme="0" tint="-0.249977111117893"/>
      </right>
      <top style="thin">
        <color theme="0" tint="-0.249977111117893"/>
      </top>
      <bottom style="hair">
        <color theme="0" tint="-0.249977111117893"/>
      </bottom>
      <diagonal/>
    </border>
    <border>
      <left style="medium">
        <color theme="0" tint="-0.249977111117893"/>
      </left>
      <right style="thin">
        <color theme="0" tint="-0.249977111117893"/>
      </right>
      <top/>
      <bottom style="hair">
        <color theme="0" tint="-0.249977111117893"/>
      </bottom>
      <diagonal/>
    </border>
    <border>
      <left style="medium">
        <color theme="0" tint="-0.249977111117893"/>
      </left>
      <right style="thin">
        <color theme="0" tint="-0.249977111117893"/>
      </right>
      <top style="hair">
        <color theme="0" tint="-0.249977111117893"/>
      </top>
      <bottom style="thin">
        <color theme="0" tint="-0.249977111117893"/>
      </bottom>
      <diagonal/>
    </border>
    <border>
      <left style="thin">
        <color theme="0" tint="-0.249977111117893"/>
      </left>
      <right style="hair">
        <color theme="0" tint="-0.249977111117893"/>
      </right>
      <top style="thin">
        <color theme="0" tint="-0.249977111117893"/>
      </top>
      <bottom style="hair">
        <color theme="0" tint="-0.249977111117893"/>
      </bottom>
      <diagonal/>
    </border>
    <border>
      <left/>
      <right style="medium">
        <color theme="0" tint="-0.249977111117893"/>
      </right>
      <top style="thin">
        <color theme="0" tint="-0.249977111117893"/>
      </top>
      <bottom style="hair">
        <color theme="0" tint="-0.249977111117893"/>
      </bottom>
      <diagonal/>
    </border>
    <border>
      <left style="thin">
        <color theme="0" tint="-0.249977111117893"/>
      </left>
      <right style="hair">
        <color theme="0" tint="-0.249977111117893"/>
      </right>
      <top/>
      <bottom style="hair">
        <color theme="0" tint="-0.249977111117893"/>
      </bottom>
      <diagonal/>
    </border>
    <border>
      <left/>
      <right style="medium">
        <color theme="0" tint="-0.249977111117893"/>
      </right>
      <top/>
      <bottom style="hair">
        <color theme="0" tint="-0.249977111117893"/>
      </bottom>
      <diagonal/>
    </border>
    <border>
      <left/>
      <right style="medium">
        <color theme="0" tint="-0.249977111117893"/>
      </right>
      <top style="hair">
        <color theme="0" tint="-0.249977111117893"/>
      </top>
      <bottom style="thin">
        <color theme="0" tint="-0.249977111117893"/>
      </bottom>
      <diagonal/>
    </border>
    <border>
      <left style="thin">
        <color theme="0" tint="-0.249977111117893"/>
      </left>
      <right style="medium">
        <color theme="0" tint="-0.249977111117893"/>
      </right>
      <top style="thin">
        <color theme="0" tint="-0.249977111117893"/>
      </top>
      <bottom style="hair">
        <color theme="0" tint="-0.249977111117893"/>
      </bottom>
      <diagonal/>
    </border>
    <border>
      <left style="thin">
        <color theme="0" tint="-0.249977111117893"/>
      </left>
      <right style="medium">
        <color theme="0" tint="-0.249977111117893"/>
      </right>
      <top/>
      <bottom style="hair">
        <color theme="0" tint="-0.249977111117893"/>
      </bottom>
      <diagonal/>
    </border>
    <border>
      <left style="thin">
        <color theme="0" tint="-0.249977111117893"/>
      </left>
      <right style="medium">
        <color theme="0" tint="-0.249977111117893"/>
      </right>
      <top style="hair">
        <color theme="0" tint="-0.249977111117893"/>
      </top>
      <bottom style="thin">
        <color theme="0" tint="-0.249977111117893"/>
      </bottom>
      <diagonal/>
    </border>
    <border>
      <left style="thin">
        <color theme="0" tint="-0.249977111117893"/>
      </left>
      <right style="thin">
        <color theme="0" tint="-0.249977111117893"/>
      </right>
      <top style="thin">
        <color theme="0" tint="-0.249977111117893"/>
      </top>
      <bottom style="thin">
        <color theme="0" tint="-0.14996795556505021"/>
      </bottom>
      <diagonal/>
    </border>
    <border>
      <left/>
      <right style="thin">
        <color theme="0" tint="-0.249977111117893"/>
      </right>
      <top style="thin">
        <color theme="0" tint="-0.14996795556505021"/>
      </top>
      <bottom style="thin">
        <color theme="0" tint="-0.14996795556505021"/>
      </bottom>
      <diagonal/>
    </border>
    <border>
      <left/>
      <right style="thin">
        <color theme="0" tint="-0.249977111117893"/>
      </right>
      <top style="thin">
        <color theme="0" tint="-0.249977111117893"/>
      </top>
      <bottom style="thin">
        <color theme="0" tint="-0.14996795556505021"/>
      </bottom>
      <diagonal/>
    </border>
    <border>
      <left style="thin">
        <color theme="0" tint="-0.249977111117893"/>
      </left>
      <right/>
      <top style="thin">
        <color theme="0" tint="-0.14996795556505021"/>
      </top>
      <bottom style="thin">
        <color theme="0" tint="-0.14996795556505021"/>
      </bottom>
      <diagonal/>
    </border>
    <border>
      <left style="thin">
        <color theme="0" tint="-0.249977111117893"/>
      </left>
      <right style="thin">
        <color theme="0" tint="-0.249977111117893"/>
      </right>
      <top/>
      <bottom style="medium">
        <color theme="0" tint="-0.249977111117893"/>
      </bottom>
      <diagonal/>
    </border>
    <border>
      <left/>
      <right style="thin">
        <color theme="0" tint="-0.249977111117893"/>
      </right>
      <top/>
      <bottom style="medium">
        <color theme="0" tint="-0.249977111117893"/>
      </bottom>
      <diagonal/>
    </border>
    <border>
      <left style="thin">
        <color theme="0" tint="-0.34998626667073579"/>
      </left>
      <right/>
      <top style="thin">
        <color theme="0" tint="-0.249977111117893"/>
      </top>
      <bottom/>
      <diagonal/>
    </border>
    <border>
      <left/>
      <right style="thin">
        <color theme="0" tint="-0.249977111117893"/>
      </right>
      <top style="medium">
        <color theme="0" tint="-0.249977111117893"/>
      </top>
      <bottom style="hair">
        <color theme="0" tint="-0.249977111117893"/>
      </bottom>
      <diagonal/>
    </border>
    <border>
      <left style="thin">
        <color theme="0" tint="-0.249977111117893"/>
      </left>
      <right style="thin">
        <color theme="0" tint="-0.249977111117893"/>
      </right>
      <top style="medium">
        <color theme="0" tint="-0.249977111117893"/>
      </top>
      <bottom style="thin">
        <color theme="0" tint="-0.249977111117893"/>
      </bottom>
      <diagonal/>
    </border>
    <border>
      <left style="thin">
        <color theme="0" tint="-0.249977111117893"/>
      </left>
      <right style="thin">
        <color theme="0" tint="-0.249977111117893"/>
      </right>
      <top style="thin">
        <color theme="0" tint="-0.14996795556505021"/>
      </top>
      <bottom style="thin">
        <color theme="0" tint="-0.14993743705557422"/>
      </bottom>
      <diagonal/>
    </border>
    <border>
      <left style="medium">
        <color rgb="FFBFBFBF"/>
      </left>
      <right/>
      <top/>
      <bottom/>
      <diagonal/>
    </border>
    <border>
      <left/>
      <right style="medium">
        <color rgb="FFBFBFBF"/>
      </right>
      <top/>
      <bottom/>
      <diagonal/>
    </border>
    <border>
      <left style="medium">
        <color rgb="FFBFBFBF"/>
      </left>
      <right/>
      <top/>
      <bottom style="medium">
        <color rgb="FFBFBFBF"/>
      </bottom>
      <diagonal/>
    </border>
    <border>
      <left/>
      <right/>
      <top/>
      <bottom style="medium">
        <color rgb="FFBFBFBF"/>
      </bottom>
      <diagonal/>
    </border>
    <border>
      <left/>
      <right style="medium">
        <color rgb="FFBFBFBF"/>
      </right>
      <top/>
      <bottom style="medium">
        <color rgb="FFBFBFBF"/>
      </bottom>
      <diagonal/>
    </border>
    <border>
      <left style="thin">
        <color theme="0" tint="-0.249977111117893"/>
      </left>
      <right style="thin">
        <color theme="0" tint="-0.249977111117893"/>
      </right>
      <top style="thin">
        <color theme="0" tint="-0.14996795556505021"/>
      </top>
      <bottom style="thin">
        <color theme="0" tint="-0.14996795556505021"/>
      </bottom>
      <diagonal/>
    </border>
    <border>
      <left style="thin">
        <color theme="0" tint="-0.249977111117893"/>
      </left>
      <right style="thin">
        <color theme="0" tint="-0.249977111117893"/>
      </right>
      <top style="thin">
        <color theme="0" tint="-0.34998626667073579"/>
      </top>
      <bottom style="hair">
        <color theme="0" tint="-0.34998626667073579"/>
      </bottom>
      <diagonal/>
    </border>
    <border>
      <left style="thin">
        <color theme="0" tint="-0.249977111117893"/>
      </left>
      <right style="thin">
        <color theme="0" tint="-0.249977111117893"/>
      </right>
      <top style="hair">
        <color theme="0" tint="-0.34998626667073579"/>
      </top>
      <bottom style="hair">
        <color theme="0" tint="-0.34998626667073579"/>
      </bottom>
      <diagonal/>
    </border>
    <border>
      <left style="thin">
        <color theme="0" tint="-0.249977111117893"/>
      </left>
      <right style="thin">
        <color theme="0" tint="-0.249977111117893"/>
      </right>
      <top style="thin">
        <color theme="0" tint="-0.34998626667073579"/>
      </top>
      <bottom style="thin">
        <color theme="0" tint="-0.34998626667073579"/>
      </bottom>
      <diagonal/>
    </border>
    <border>
      <left/>
      <right style="thin">
        <color theme="0" tint="-0.249977111117893"/>
      </right>
      <top style="medium">
        <color theme="0" tint="-0.249977111117893"/>
      </top>
      <bottom style="thin">
        <color theme="0" tint="-0.249977111117893"/>
      </bottom>
      <diagonal/>
    </border>
    <border>
      <left style="thin">
        <color theme="0" tint="-0.249977111117893"/>
      </left>
      <right style="thin">
        <color theme="0" tint="-0.249977111117893"/>
      </right>
      <top/>
      <bottom style="thin">
        <color theme="0" tint="-0.14996795556505021"/>
      </bottom>
      <diagonal/>
    </border>
    <border>
      <left style="thin">
        <color theme="0" tint="-0.249977111117893"/>
      </left>
      <right style="thin">
        <color theme="0" tint="-0.249977111117893"/>
      </right>
      <top style="thin">
        <color theme="0" tint="-0.14996795556505021"/>
      </top>
      <bottom style="medium">
        <color theme="0" tint="-0.249977111117893"/>
      </bottom>
      <diagonal/>
    </border>
    <border>
      <left/>
      <right style="thin">
        <color theme="0" tint="-0.249977111117893"/>
      </right>
      <top style="thin">
        <color theme="0" tint="-0.14996795556505021"/>
      </top>
      <bottom style="medium">
        <color theme="0" tint="-0.249977111117893"/>
      </bottom>
      <diagonal/>
    </border>
    <border>
      <left style="thin">
        <color theme="0" tint="-0.249977111117893"/>
      </left>
      <right style="thin">
        <color theme="0" tint="-0.249977111117893"/>
      </right>
      <top style="thin">
        <color theme="0" tint="-0.14993743705557422"/>
      </top>
      <bottom style="medium">
        <color theme="0" tint="-0.249977111117893"/>
      </bottom>
      <diagonal/>
    </border>
    <border>
      <left style="thin">
        <color theme="0" tint="-0.34998626667073579"/>
      </left>
      <right/>
      <top style="thin">
        <color theme="0" tint="-0.34998626667073579"/>
      </top>
      <bottom style="thin">
        <color theme="0" tint="-0.34998626667073579"/>
      </bottom>
      <diagonal/>
    </border>
    <border>
      <left/>
      <right/>
      <top style="thin">
        <color theme="0" tint="-0.34998626667073579"/>
      </top>
      <bottom style="thin">
        <color theme="0" tint="-0.34998626667073579"/>
      </bottom>
      <diagonal/>
    </border>
    <border>
      <left style="thin">
        <color theme="0" tint="-0.249977111117893"/>
      </left>
      <right/>
      <top style="thin">
        <color theme="0" tint="-0.34998626667073579"/>
      </top>
      <bottom style="hair">
        <color theme="0" tint="-0.34998626667073579"/>
      </bottom>
      <diagonal/>
    </border>
    <border>
      <left style="thin">
        <color theme="0" tint="-0.249977111117893"/>
      </left>
      <right/>
      <top style="hair">
        <color theme="0" tint="-0.34998626667073579"/>
      </top>
      <bottom style="hair">
        <color theme="0" tint="-0.34998626667073579"/>
      </bottom>
      <diagonal/>
    </border>
    <border>
      <left style="thin">
        <color theme="0" tint="-0.249977111117893"/>
      </left>
      <right/>
      <top/>
      <bottom style="hair">
        <color theme="0" tint="-0.34998626667073579"/>
      </bottom>
      <diagonal/>
    </border>
    <border>
      <left/>
      <right/>
      <top/>
      <bottom style="hair">
        <color theme="0" tint="-0.34998626667073579"/>
      </bottom>
      <diagonal/>
    </border>
    <border>
      <left style="thin">
        <color theme="0" tint="-0.249977111117893"/>
      </left>
      <right style="thin">
        <color theme="0" tint="-0.249977111117893"/>
      </right>
      <top/>
      <bottom style="hair">
        <color theme="0" tint="-0.34998626667073579"/>
      </bottom>
      <diagonal/>
    </border>
    <border>
      <left style="thin">
        <color theme="0" tint="-0.249977111117893"/>
      </left>
      <right/>
      <top style="medium">
        <color theme="0" tint="-0.34998626667073579"/>
      </top>
      <bottom/>
      <diagonal/>
    </border>
    <border>
      <left/>
      <right/>
      <top style="medium">
        <color theme="0" tint="-0.34998626667073579"/>
      </top>
      <bottom/>
      <diagonal/>
    </border>
    <border>
      <left style="thin">
        <color theme="0" tint="-0.249977111117893"/>
      </left>
      <right/>
      <top style="hair">
        <color theme="0" tint="-0.249977111117893"/>
      </top>
      <bottom/>
      <diagonal/>
    </border>
    <border>
      <left/>
      <right style="thin">
        <color theme="0" tint="-0.249977111117893"/>
      </right>
      <top style="hair">
        <color theme="0" tint="-0.249977111117893"/>
      </top>
      <bottom/>
      <diagonal/>
    </border>
    <border>
      <left/>
      <right/>
      <top style="thin">
        <color theme="0" tint="-0.249977111117893"/>
      </top>
      <bottom style="hair">
        <color theme="0" tint="-0.249977111117893"/>
      </bottom>
      <diagonal/>
    </border>
    <border>
      <left style="thin">
        <color theme="0" tint="-0.34998626667073579"/>
      </left>
      <right style="thin">
        <color theme="0" tint="-0.249977111117893"/>
      </right>
      <top style="thin">
        <color theme="0" tint="-0.34998626667073579"/>
      </top>
      <bottom style="hair">
        <color theme="0" tint="-0.34998626667073579"/>
      </bottom>
      <diagonal/>
    </border>
    <border>
      <left/>
      <right style="thin">
        <color theme="0" tint="-0.249977111117893"/>
      </right>
      <top style="thin">
        <color theme="0" tint="-0.34998626667073579"/>
      </top>
      <bottom style="hair">
        <color theme="0" tint="-0.34998626667073579"/>
      </bottom>
      <diagonal/>
    </border>
    <border>
      <left style="thin">
        <color theme="0" tint="-0.34998626667073579"/>
      </left>
      <right style="thin">
        <color theme="0" tint="-0.249977111117893"/>
      </right>
      <top style="hair">
        <color theme="0" tint="-0.34998626667073579"/>
      </top>
      <bottom style="hair">
        <color theme="0" tint="-0.34998626667073579"/>
      </bottom>
      <diagonal/>
    </border>
    <border>
      <left/>
      <right style="thin">
        <color theme="0" tint="-0.249977111117893"/>
      </right>
      <top style="hair">
        <color theme="0" tint="-0.34998626667073579"/>
      </top>
      <bottom style="hair">
        <color theme="0" tint="-0.34998626667073579"/>
      </bottom>
      <diagonal/>
    </border>
    <border>
      <left style="thin">
        <color theme="0" tint="-0.249977111117893"/>
      </left>
      <right/>
      <top style="hair">
        <color theme="0" tint="-0.34998626667073579"/>
      </top>
      <bottom style="thin">
        <color theme="0" tint="-0.249977111117893"/>
      </bottom>
      <diagonal/>
    </border>
    <border>
      <left/>
      <right/>
      <top style="hair">
        <color theme="0" tint="-0.34998626667073579"/>
      </top>
      <bottom style="thin">
        <color theme="0" tint="-0.249977111117893"/>
      </bottom>
      <diagonal/>
    </border>
    <border>
      <left style="thin">
        <color theme="0" tint="-0.34998626667073579"/>
      </left>
      <right style="thin">
        <color theme="0" tint="-0.34998626667073579"/>
      </right>
      <top style="hair">
        <color theme="0" tint="-0.34998626667073579"/>
      </top>
      <bottom style="thin">
        <color theme="0" tint="-0.249977111117893"/>
      </bottom>
      <diagonal/>
    </border>
    <border>
      <left style="thin">
        <color theme="0" tint="-0.34998626667073579"/>
      </left>
      <right style="thin">
        <color theme="0" tint="-0.249977111117893"/>
      </right>
      <top style="hair">
        <color theme="0" tint="-0.34998626667073579"/>
      </top>
      <bottom style="thin">
        <color theme="0" tint="-0.249977111117893"/>
      </bottom>
      <diagonal/>
    </border>
    <border>
      <left/>
      <right style="thin">
        <color theme="0" tint="-0.249977111117893"/>
      </right>
      <top style="hair">
        <color theme="0" tint="-0.34998626667073579"/>
      </top>
      <bottom style="thin">
        <color theme="0" tint="-0.249977111117893"/>
      </bottom>
      <diagonal/>
    </border>
    <border>
      <left style="thin">
        <color theme="0" tint="-0.34998626667073579"/>
      </left>
      <right/>
      <top style="thin">
        <color theme="0" tint="-0.34998626667073579"/>
      </top>
      <bottom style="hair">
        <color theme="0" tint="-0.34998626667073579"/>
      </bottom>
      <diagonal/>
    </border>
    <border>
      <left style="thin">
        <color theme="0" tint="-0.249977111117893"/>
      </left>
      <right style="thin">
        <color theme="0" tint="-0.34998626667073579"/>
      </right>
      <top style="thin">
        <color theme="0" tint="-0.34998626667073579"/>
      </top>
      <bottom style="hair">
        <color theme="0" tint="-0.34998626667073579"/>
      </bottom>
      <diagonal/>
    </border>
    <border>
      <left style="thin">
        <color theme="0" tint="-0.34998626667073579"/>
      </left>
      <right/>
      <top style="hair">
        <color theme="0" tint="-0.34998626667073579"/>
      </top>
      <bottom style="hair">
        <color theme="0" tint="-0.34998626667073579"/>
      </bottom>
      <diagonal/>
    </border>
    <border>
      <left style="thin">
        <color theme="0" tint="-0.249977111117893"/>
      </left>
      <right style="thin">
        <color theme="0" tint="-0.34998626667073579"/>
      </right>
      <top style="hair">
        <color theme="0" tint="-0.34998626667073579"/>
      </top>
      <bottom style="hair">
        <color theme="0" tint="-0.34998626667073579"/>
      </bottom>
      <diagonal/>
    </border>
    <border>
      <left style="thin">
        <color theme="0" tint="-0.34998626667073579"/>
      </left>
      <right/>
      <top style="hair">
        <color theme="0" tint="-0.34998626667073579"/>
      </top>
      <bottom style="thin">
        <color theme="0" tint="-0.34998626667073579"/>
      </bottom>
      <diagonal/>
    </border>
    <border>
      <left/>
      <right/>
      <top style="hair">
        <color theme="0" tint="-0.34998626667073579"/>
      </top>
      <bottom style="thin">
        <color theme="0" tint="-0.34998626667073579"/>
      </bottom>
      <diagonal/>
    </border>
    <border>
      <left style="thin">
        <color theme="0" tint="-0.249977111117893"/>
      </left>
      <right style="thin">
        <color theme="0" tint="-0.249977111117893"/>
      </right>
      <top style="hair">
        <color theme="0" tint="-0.34998626667073579"/>
      </top>
      <bottom style="thin">
        <color theme="0" tint="-0.34998626667073579"/>
      </bottom>
      <diagonal/>
    </border>
    <border>
      <left style="thin">
        <color theme="0" tint="-0.24994659260841701"/>
      </left>
      <right style="thin">
        <color theme="0" tint="-0.24994659260841701"/>
      </right>
      <top style="hair">
        <color theme="0" tint="-0.34998626667073579"/>
      </top>
      <bottom style="hair">
        <color theme="0" tint="-0.34998626667073579"/>
      </bottom>
      <diagonal/>
    </border>
    <border>
      <left style="thin">
        <color theme="0" tint="-0.24994659260841701"/>
      </left>
      <right style="thin">
        <color theme="0" tint="-0.24994659260841701"/>
      </right>
      <top/>
      <bottom style="hair">
        <color theme="0" tint="-0.34998626667073579"/>
      </bottom>
      <diagonal/>
    </border>
    <border>
      <left style="hair">
        <color theme="0" tint="-0.249977111117893"/>
      </left>
      <right style="hair">
        <color theme="0" tint="-0.249977111117893"/>
      </right>
      <top style="thin">
        <color theme="0" tint="-0.249977111117893"/>
      </top>
      <bottom style="hair">
        <color theme="0" tint="-0.249977111117893"/>
      </bottom>
      <diagonal/>
    </border>
    <border>
      <left style="hair">
        <color theme="0" tint="-0.249977111117893"/>
      </left>
      <right style="thin">
        <color theme="0" tint="-0.249977111117893"/>
      </right>
      <top style="thin">
        <color theme="0" tint="-0.249977111117893"/>
      </top>
      <bottom style="hair">
        <color theme="0" tint="-0.249977111117893"/>
      </bottom>
      <diagonal/>
    </border>
    <border>
      <left style="thin">
        <color theme="0" tint="-0.249977111117893"/>
      </left>
      <right style="hair">
        <color theme="0" tint="-0.249977111117893"/>
      </right>
      <top style="hair">
        <color theme="0" tint="-0.249977111117893"/>
      </top>
      <bottom style="hair">
        <color theme="0" tint="-0.249977111117893"/>
      </bottom>
      <diagonal/>
    </border>
    <border>
      <left style="hair">
        <color theme="0" tint="-0.249977111117893"/>
      </left>
      <right style="hair">
        <color theme="0" tint="-0.249977111117893"/>
      </right>
      <top style="hair">
        <color theme="0" tint="-0.249977111117893"/>
      </top>
      <bottom style="hair">
        <color theme="0" tint="-0.249977111117893"/>
      </bottom>
      <diagonal/>
    </border>
    <border>
      <left style="hair">
        <color theme="0" tint="-0.249977111117893"/>
      </left>
      <right style="thin">
        <color theme="0" tint="-0.249977111117893"/>
      </right>
      <top style="hair">
        <color theme="0" tint="-0.249977111117893"/>
      </top>
      <bottom style="hair">
        <color theme="0" tint="-0.249977111117893"/>
      </bottom>
      <diagonal/>
    </border>
    <border>
      <left/>
      <right/>
      <top style="hair">
        <color theme="0" tint="-0.249977111117893"/>
      </top>
      <bottom style="thin">
        <color theme="0" tint="-0.249977111117893"/>
      </bottom>
      <diagonal/>
    </border>
    <border>
      <left style="hair">
        <color theme="0" tint="-0.249977111117893"/>
      </left>
      <right style="hair">
        <color theme="0" tint="-0.249977111117893"/>
      </right>
      <top style="hair">
        <color theme="0" tint="-0.249977111117893"/>
      </top>
      <bottom style="thin">
        <color theme="0" tint="-0.249977111117893"/>
      </bottom>
      <diagonal/>
    </border>
    <border>
      <left style="hair">
        <color theme="0" tint="-0.249977111117893"/>
      </left>
      <right style="thin">
        <color theme="0" tint="-0.249977111117893"/>
      </right>
      <top style="hair">
        <color theme="0" tint="-0.249977111117893"/>
      </top>
      <bottom style="thin">
        <color theme="0" tint="-0.249977111117893"/>
      </bottom>
      <diagonal/>
    </border>
    <border>
      <left style="hair">
        <color theme="0" tint="-0.249977111117893"/>
      </left>
      <right style="hair">
        <color theme="0" tint="-0.249977111117893"/>
      </right>
      <top/>
      <bottom style="hair">
        <color theme="0" tint="-0.249977111117893"/>
      </bottom>
      <diagonal/>
    </border>
    <border>
      <left style="thin">
        <color theme="0" tint="-0.249977111117893"/>
      </left>
      <right style="hair">
        <color theme="0" tint="-0.249977111117893"/>
      </right>
      <top style="hair">
        <color theme="0" tint="-0.249977111117893"/>
      </top>
      <bottom/>
      <diagonal/>
    </border>
    <border>
      <left style="hair">
        <color theme="0" tint="-0.249977111117893"/>
      </left>
      <right style="hair">
        <color theme="0" tint="-0.249977111117893"/>
      </right>
      <top style="hair">
        <color theme="0" tint="-0.249977111117893"/>
      </top>
      <bottom/>
      <diagonal/>
    </border>
    <border>
      <left/>
      <right style="hair">
        <color theme="0" tint="-0.249977111117893"/>
      </right>
      <top style="hair">
        <color theme="0" tint="-0.249977111117893"/>
      </top>
      <bottom style="hair">
        <color theme="0" tint="-0.249977111117893"/>
      </bottom>
      <diagonal/>
    </border>
    <border>
      <left/>
      <right style="hair">
        <color theme="0" tint="-0.249977111117893"/>
      </right>
      <top style="hair">
        <color theme="0" tint="-0.249977111117893"/>
      </top>
      <bottom/>
      <diagonal/>
    </border>
    <border>
      <left style="hair">
        <color theme="0" tint="-0.249977111117893"/>
      </left>
      <right style="thin">
        <color theme="0" tint="-0.249977111117893"/>
      </right>
      <top style="hair">
        <color theme="0" tint="-0.249977111117893"/>
      </top>
      <bottom/>
      <diagonal/>
    </border>
    <border>
      <left style="thin">
        <color theme="0" tint="-0.249977111117893"/>
      </left>
      <right style="thin">
        <color theme="0" tint="-0.249977111117893"/>
      </right>
      <top style="hair">
        <color theme="0" tint="-0.249977111117893"/>
      </top>
      <bottom style="medium">
        <color theme="0" tint="-0.249977111117893"/>
      </bottom>
      <diagonal/>
    </border>
    <border>
      <left/>
      <right/>
      <top style="hair">
        <color theme="0" tint="-0.249977111117893"/>
      </top>
      <bottom/>
      <diagonal/>
    </border>
    <border>
      <left style="thin">
        <color theme="0" tint="-0.249977111117893"/>
      </left>
      <right style="thin">
        <color theme="0" tint="-0.249977111117893"/>
      </right>
      <top style="medium">
        <color theme="0" tint="-0.249977111117893"/>
      </top>
      <bottom style="medium">
        <color theme="0" tint="-0.249977111117893"/>
      </bottom>
      <diagonal/>
    </border>
    <border>
      <left style="thin">
        <color theme="0" tint="-0.249977111117893"/>
      </left>
      <right style="hair">
        <color theme="0" tint="-0.249977111117893"/>
      </right>
      <top/>
      <bottom style="thin">
        <color theme="0" tint="-0.249977111117893"/>
      </bottom>
      <diagonal/>
    </border>
    <border>
      <left style="hair">
        <color theme="0" tint="-0.249977111117893"/>
      </left>
      <right style="hair">
        <color theme="0" tint="-0.249977111117893"/>
      </right>
      <top/>
      <bottom style="thin">
        <color theme="0" tint="-0.249977111117893"/>
      </bottom>
      <diagonal/>
    </border>
    <border>
      <left/>
      <right/>
      <top style="medium">
        <color theme="0" tint="-0.249977111117893"/>
      </top>
      <bottom style="hair">
        <color theme="0" tint="-0.249977111117893"/>
      </bottom>
      <diagonal/>
    </border>
    <border>
      <left/>
      <right style="thin">
        <color theme="0" tint="-0.249977111117893"/>
      </right>
      <top style="thin">
        <color theme="0" tint="-0.34998626667073579"/>
      </top>
      <bottom/>
      <diagonal/>
    </border>
    <border>
      <left/>
      <right style="thin">
        <color theme="0" tint="-0.34998626667073579"/>
      </right>
      <top style="hair">
        <color theme="0" tint="-0.34998626667073579"/>
      </top>
      <bottom style="hair">
        <color theme="0" tint="-0.34998626667073579"/>
      </bottom>
      <diagonal/>
    </border>
    <border>
      <left style="thin">
        <color theme="0" tint="-0.249977111117893"/>
      </left>
      <right/>
      <top style="hair">
        <color theme="0" tint="-0.34998626667073579"/>
      </top>
      <bottom style="thin">
        <color theme="0" tint="-0.34998626667073579"/>
      </bottom>
      <diagonal/>
    </border>
    <border>
      <left/>
      <right style="thin">
        <color theme="0" tint="-0.34998626667073579"/>
      </right>
      <top style="hair">
        <color theme="0" tint="-0.34998626667073579"/>
      </top>
      <bottom style="thin">
        <color theme="0" tint="-0.34998626667073579"/>
      </bottom>
      <diagonal/>
    </border>
    <border>
      <left style="thin">
        <color theme="0" tint="-0.249977111117893"/>
      </left>
      <right/>
      <top style="thin">
        <color theme="0" tint="-0.34998626667073579"/>
      </top>
      <bottom style="thin">
        <color theme="0" tint="-0.34998626667073579"/>
      </bottom>
      <diagonal/>
    </border>
    <border>
      <left/>
      <right style="thin">
        <color theme="0" tint="-0.34998626667073579"/>
      </right>
      <top style="thin">
        <color theme="0" tint="-0.34998626667073579"/>
      </top>
      <bottom style="thin">
        <color theme="0" tint="-0.34998626667073579"/>
      </bottom>
      <diagonal/>
    </border>
    <border>
      <left/>
      <right style="thin">
        <color theme="0" tint="-0.34998626667073579"/>
      </right>
      <top style="thin">
        <color theme="0" tint="-0.34998626667073579"/>
      </top>
      <bottom style="hair">
        <color theme="0" tint="-0.34998626667073579"/>
      </bottom>
      <diagonal/>
    </border>
    <border>
      <left/>
      <right style="thin">
        <color theme="0" tint="-0.34998626667073579"/>
      </right>
      <top style="thin">
        <color theme="0" tint="-0.34998626667073579"/>
      </top>
      <bottom/>
      <diagonal/>
    </border>
    <border>
      <left/>
      <right style="thin">
        <color theme="0" tint="-0.34998626667073579"/>
      </right>
      <top/>
      <bottom style="thin">
        <color theme="0" tint="-0.34998626667073579"/>
      </bottom>
      <diagonal/>
    </border>
    <border>
      <left style="thin">
        <color theme="0" tint="-0.34998626667073579"/>
      </left>
      <right/>
      <top style="thin">
        <color theme="0" tint="-0.34998626667073579"/>
      </top>
      <bottom style="medium">
        <color theme="0" tint="-0.34998626667073579"/>
      </bottom>
      <diagonal/>
    </border>
    <border>
      <left/>
      <right style="thin">
        <color theme="0" tint="-0.34998626667073579"/>
      </right>
      <top style="thin">
        <color theme="0" tint="-0.34998626667073579"/>
      </top>
      <bottom style="medium">
        <color theme="0" tint="-0.34998626667073579"/>
      </bottom>
      <diagonal/>
    </border>
    <border>
      <left/>
      <right style="medium">
        <color theme="0" tint="-0.249977111117893"/>
      </right>
      <top style="thin">
        <color theme="0" tint="-0.249977111117893"/>
      </top>
      <bottom style="thin">
        <color theme="0" tint="-0.249977111117893"/>
      </bottom>
      <diagonal/>
    </border>
    <border>
      <left style="medium">
        <color theme="0" tint="-0.249977111117893"/>
      </left>
      <right/>
      <top style="thin">
        <color theme="0" tint="-0.249977111117893"/>
      </top>
      <bottom style="thin">
        <color theme="0" tint="-0.249977111117893"/>
      </bottom>
      <diagonal/>
    </border>
    <border>
      <left style="medium">
        <color theme="0" tint="-0.249977111117893"/>
      </left>
      <right/>
      <top style="thin">
        <color theme="0" tint="-0.249977111117893"/>
      </top>
      <bottom/>
      <diagonal/>
    </border>
    <border>
      <left/>
      <right style="medium">
        <color theme="0" tint="-0.249977111117893"/>
      </right>
      <top style="thin">
        <color theme="0" tint="-0.249977111117893"/>
      </top>
      <bottom/>
      <diagonal/>
    </border>
    <border>
      <left/>
      <right style="medium">
        <color theme="0" tint="-0.249977111117893"/>
      </right>
      <top/>
      <bottom style="thin">
        <color theme="0" tint="-0.249977111117893"/>
      </bottom>
      <diagonal/>
    </border>
    <border>
      <left style="medium">
        <color theme="0" tint="-0.249977111117893"/>
      </left>
      <right/>
      <top/>
      <bottom style="thin">
        <color theme="0" tint="-0.249977111117893"/>
      </bottom>
      <diagonal/>
    </border>
    <border>
      <left style="thin">
        <color theme="0" tint="-0.249977111117893"/>
      </left>
      <right/>
      <top style="thin">
        <color theme="0" tint="-0.249977111117893"/>
      </top>
      <bottom style="thin">
        <color theme="0" tint="-0.14996795556505021"/>
      </bottom>
      <diagonal/>
    </border>
    <border>
      <left/>
      <right/>
      <top style="thin">
        <color theme="0" tint="-0.249977111117893"/>
      </top>
      <bottom style="thin">
        <color theme="0" tint="-0.14996795556505021"/>
      </bottom>
      <diagonal/>
    </border>
    <border>
      <left style="thin">
        <color theme="0" tint="-0.249977111117893"/>
      </left>
      <right/>
      <top style="medium">
        <color theme="0" tint="-0.249977111117893"/>
      </top>
      <bottom style="thin">
        <color theme="0" tint="-0.249977111117893"/>
      </bottom>
      <diagonal/>
    </border>
    <border>
      <left/>
      <right/>
      <top style="medium">
        <color theme="0" tint="-0.249977111117893"/>
      </top>
      <bottom style="thin">
        <color theme="0" tint="-0.249977111117893"/>
      </bottom>
      <diagonal/>
    </border>
    <border>
      <left/>
      <right/>
      <top style="thin">
        <color theme="0" tint="-0.14996795556505021"/>
      </top>
      <bottom style="thin">
        <color theme="0" tint="-0.14996795556505021"/>
      </bottom>
      <diagonal/>
    </border>
    <border>
      <left style="thin">
        <color theme="0" tint="-0.249977111117893"/>
      </left>
      <right/>
      <top style="thin">
        <color theme="0" tint="-0.14996795556505021"/>
      </top>
      <bottom style="medium">
        <color theme="0" tint="-0.249977111117893"/>
      </bottom>
      <diagonal/>
    </border>
    <border>
      <left/>
      <right/>
      <top style="thin">
        <color theme="0" tint="-0.14996795556505021"/>
      </top>
      <bottom style="medium">
        <color theme="0" tint="-0.249977111117893"/>
      </bottom>
      <diagonal/>
    </border>
    <border>
      <left style="thin">
        <color theme="0" tint="-0.249977111117893"/>
      </left>
      <right/>
      <top style="medium">
        <color theme="0" tint="-0.249977111117893"/>
      </top>
      <bottom style="medium">
        <color theme="0" tint="-0.249977111117893"/>
      </bottom>
      <diagonal/>
    </border>
    <border>
      <left/>
      <right/>
      <top style="medium">
        <color theme="0" tint="-0.249977111117893"/>
      </top>
      <bottom style="medium">
        <color theme="0" tint="-0.249977111117893"/>
      </bottom>
      <diagonal/>
    </border>
    <border>
      <left/>
      <right style="thin">
        <color theme="0" tint="-0.249977111117893"/>
      </right>
      <top style="medium">
        <color theme="0" tint="-0.249977111117893"/>
      </top>
      <bottom style="medium">
        <color theme="0" tint="-0.249977111117893"/>
      </bottom>
      <diagonal/>
    </border>
    <border>
      <left style="thin">
        <color theme="0" tint="-0.249977111117893"/>
      </left>
      <right/>
      <top/>
      <bottom style="medium">
        <color theme="0" tint="-0.249977111117893"/>
      </bottom>
      <diagonal/>
    </border>
    <border>
      <left/>
      <right/>
      <top style="hair">
        <color theme="0" tint="-0.249977111117893"/>
      </top>
      <bottom style="medium">
        <color theme="0" tint="-0.249977111117893"/>
      </bottom>
      <diagonal/>
    </border>
    <border>
      <left style="thin">
        <color rgb="FFBFBFBF"/>
      </left>
      <right/>
      <top style="thin">
        <color rgb="FFBFBFBF"/>
      </top>
      <bottom style="medium">
        <color rgb="FFBFBFBF"/>
      </bottom>
      <diagonal/>
    </border>
    <border>
      <left style="thick">
        <color theme="0" tint="-0.249977111117893"/>
      </left>
      <right style="thin">
        <color theme="0" tint="-0.249977111117893"/>
      </right>
      <top style="thin">
        <color theme="0" tint="-0.249977111117893"/>
      </top>
      <bottom/>
      <diagonal/>
    </border>
    <border>
      <left style="thick">
        <color theme="0" tint="-0.249977111117893"/>
      </left>
      <right style="thin">
        <color theme="0" tint="-0.249977111117893"/>
      </right>
      <top/>
      <bottom/>
      <diagonal/>
    </border>
    <border>
      <left style="thick">
        <color theme="0" tint="-0.249977111117893"/>
      </left>
      <right style="thin">
        <color theme="0" tint="-0.249977111117893"/>
      </right>
      <top/>
      <bottom style="hair">
        <color theme="0" tint="-0.249977111117893"/>
      </bottom>
      <diagonal/>
    </border>
  </borders>
  <cellStyleXfs count="3">
    <xf numFmtId="0" fontId="0" fillId="0" borderId="0"/>
    <xf numFmtId="0" fontId="8" fillId="0" borderId="0"/>
    <xf numFmtId="9" fontId="30" fillId="0" borderId="0" applyFont="0" applyFill="0" applyBorder="0" applyAlignment="0" applyProtection="0"/>
  </cellStyleXfs>
  <cellXfs count="1495">
    <xf numFmtId="0" fontId="0" fillId="0" borderId="0" xfId="0"/>
    <xf numFmtId="0" fontId="31" fillId="2" borderId="0" xfId="0" applyFont="1" applyFill="1"/>
    <xf numFmtId="0" fontId="32" fillId="2" borderId="0" xfId="0" applyFont="1" applyFill="1"/>
    <xf numFmtId="0" fontId="32" fillId="0" borderId="0" xfId="0" applyFont="1"/>
    <xf numFmtId="0" fontId="33" fillId="3" borderId="0" xfId="0" applyFont="1" applyFill="1" applyAlignment="1">
      <alignment vertical="center"/>
    </xf>
    <xf numFmtId="0" fontId="31" fillId="2" borderId="1" xfId="0" applyFont="1" applyFill="1" applyBorder="1"/>
    <xf numFmtId="0" fontId="32" fillId="2" borderId="0" xfId="0" applyFont="1" applyFill="1" applyAlignment="1">
      <alignment vertical="center"/>
    </xf>
    <xf numFmtId="0" fontId="34" fillId="2" borderId="0" xfId="0" applyFont="1" applyFill="1" applyAlignment="1">
      <alignment horizontal="center" vertical="center"/>
    </xf>
    <xf numFmtId="0" fontId="31" fillId="2" borderId="0" xfId="0" applyFont="1" applyFill="1" applyAlignment="1">
      <alignment vertical="center"/>
    </xf>
    <xf numFmtId="0" fontId="35" fillId="2" borderId="0" xfId="0" applyFont="1" applyFill="1"/>
    <xf numFmtId="0" fontId="36" fillId="2" borderId="21" xfId="0" applyFont="1" applyFill="1" applyBorder="1"/>
    <xf numFmtId="0" fontId="31" fillId="2" borderId="22" xfId="0" applyFont="1" applyFill="1" applyBorder="1"/>
    <xf numFmtId="0" fontId="37" fillId="2" borderId="1" xfId="0" applyFont="1" applyFill="1" applyBorder="1"/>
    <xf numFmtId="0" fontId="37" fillId="2" borderId="1" xfId="0" applyFont="1" applyFill="1" applyBorder="1" applyAlignment="1">
      <alignment horizontal="center" wrapText="1"/>
    </xf>
    <xf numFmtId="0" fontId="38" fillId="2" borderId="2" xfId="0" applyFont="1" applyFill="1" applyBorder="1"/>
    <xf numFmtId="0" fontId="38" fillId="2" borderId="3" xfId="0" applyFont="1" applyFill="1" applyBorder="1"/>
    <xf numFmtId="0" fontId="38" fillId="2" borderId="0" xfId="0" applyFont="1" applyFill="1"/>
    <xf numFmtId="0" fontId="38" fillId="2" borderId="0" xfId="0" applyFont="1" applyFill="1" applyAlignment="1">
      <alignment horizontal="left"/>
    </xf>
    <xf numFmtId="164" fontId="38" fillId="2" borderId="0" xfId="0" applyNumberFormat="1" applyFont="1" applyFill="1" applyAlignment="1">
      <alignment horizontal="center"/>
    </xf>
    <xf numFmtId="0" fontId="39" fillId="2" borderId="0" xfId="0" applyFont="1" applyFill="1"/>
    <xf numFmtId="0" fontId="31" fillId="4" borderId="0" xfId="0" applyFont="1" applyFill="1" applyAlignment="1">
      <alignment vertical="center"/>
    </xf>
    <xf numFmtId="0" fontId="31" fillId="4" borderId="0" xfId="0" applyFont="1" applyFill="1" applyAlignment="1">
      <alignment horizontal="left" vertical="center"/>
    </xf>
    <xf numFmtId="0" fontId="40" fillId="2" borderId="0" xfId="0" applyFont="1" applyFill="1" applyAlignment="1">
      <alignment horizontal="right"/>
    </xf>
    <xf numFmtId="0" fontId="41" fillId="2" borderId="0" xfId="0" applyFont="1" applyFill="1"/>
    <xf numFmtId="164" fontId="41" fillId="2" borderId="0" xfId="0" applyNumberFormat="1" applyFont="1" applyFill="1" applyAlignment="1">
      <alignment horizontal="center"/>
    </xf>
    <xf numFmtId="0" fontId="41" fillId="2" borderId="23" xfId="0" applyFont="1" applyFill="1" applyBorder="1"/>
    <xf numFmtId="0" fontId="41" fillId="2" borderId="24" xfId="0" applyFont="1" applyFill="1" applyBorder="1"/>
    <xf numFmtId="0" fontId="41" fillId="2" borderId="25" xfId="0" applyFont="1" applyFill="1" applyBorder="1"/>
    <xf numFmtId="0" fontId="41" fillId="2" borderId="21" xfId="0" applyFont="1" applyFill="1" applyBorder="1"/>
    <xf numFmtId="0" fontId="42" fillId="2" borderId="0" xfId="0" applyFont="1" applyFill="1"/>
    <xf numFmtId="0" fontId="41" fillId="2" borderId="22" xfId="0" applyFont="1" applyFill="1" applyBorder="1"/>
    <xf numFmtId="0" fontId="42" fillId="2" borderId="0" xfId="0" applyFont="1" applyFill="1" applyAlignment="1">
      <alignment horizontal="center" vertical="center"/>
    </xf>
    <xf numFmtId="0" fontId="41" fillId="2" borderId="26" xfId="0" applyFont="1" applyFill="1" applyBorder="1"/>
    <xf numFmtId="0" fontId="41" fillId="2" borderId="27" xfId="0" applyFont="1" applyFill="1" applyBorder="1" applyAlignment="1">
      <alignment horizontal="left"/>
    </xf>
    <xf numFmtId="0" fontId="41" fillId="2" borderId="27" xfId="0" applyFont="1" applyFill="1" applyBorder="1"/>
    <xf numFmtId="0" fontId="41" fillId="2" borderId="28" xfId="0" applyFont="1" applyFill="1" applyBorder="1"/>
    <xf numFmtId="0" fontId="32" fillId="2" borderId="0" xfId="0" applyFont="1" applyFill="1"/>
    <xf numFmtId="0" fontId="36" fillId="2" borderId="22" xfId="0" applyFont="1" applyFill="1" applyBorder="1"/>
    <xf numFmtId="0" fontId="33" fillId="2" borderId="0" xfId="0" applyFont="1" applyFill="1" applyAlignment="1">
      <alignment vertical="center"/>
    </xf>
    <xf numFmtId="0" fontId="32" fillId="2" borderId="0" xfId="0" applyFont="1" applyFill="1" applyAlignment="1">
      <alignment horizontal="left"/>
    </xf>
    <xf numFmtId="0" fontId="31" fillId="2" borderId="0" xfId="0" applyFont="1" applyFill="1" applyAlignment="1">
      <alignment horizontal="left"/>
    </xf>
    <xf numFmtId="0" fontId="41" fillId="5" borderId="0" xfId="0" applyFont="1" applyFill="1"/>
    <xf numFmtId="0" fontId="31" fillId="2" borderId="29" xfId="0" applyFont="1" applyFill="1" applyBorder="1" applyAlignment="1">
      <alignment horizontal="center"/>
    </xf>
    <xf numFmtId="0" fontId="31" fillId="2" borderId="29" xfId="0" applyFont="1" applyFill="1" applyBorder="1"/>
    <xf numFmtId="0" fontId="33" fillId="2" borderId="30" xfId="0" applyFont="1" applyFill="1" applyBorder="1"/>
    <xf numFmtId="0" fontId="36" fillId="2" borderId="0" xfId="0" applyFont="1" applyFill="1"/>
    <xf numFmtId="0" fontId="33" fillId="2" borderId="31" xfId="0" applyFont="1" applyFill="1" applyBorder="1"/>
    <xf numFmtId="0" fontId="43" fillId="2" borderId="0" xfId="0" applyFont="1" applyFill="1"/>
    <xf numFmtId="0" fontId="44" fillId="2" borderId="31" xfId="0" applyFont="1" applyFill="1" applyBorder="1"/>
    <xf numFmtId="0" fontId="45" fillId="2" borderId="21" xfId="0" applyFont="1" applyFill="1" applyBorder="1"/>
    <xf numFmtId="0" fontId="45" fillId="2" borderId="22" xfId="0" applyFont="1" applyFill="1" applyBorder="1"/>
    <xf numFmtId="0" fontId="45" fillId="2" borderId="0" xfId="0" applyFont="1" applyFill="1"/>
    <xf numFmtId="0" fontId="44" fillId="2" borderId="31" xfId="0" applyFont="1" applyFill="1" applyBorder="1" applyAlignment="1">
      <alignment horizontal="left"/>
    </xf>
    <xf numFmtId="0" fontId="33" fillId="2" borderId="29" xfId="0" applyFont="1" applyFill="1" applyBorder="1"/>
    <xf numFmtId="0" fontId="33" fillId="2" borderId="0" xfId="0" applyFont="1" applyFill="1" applyAlignment="1">
      <alignment horizontal="center"/>
    </xf>
    <xf numFmtId="0" fontId="33" fillId="2" borderId="0" xfId="0" applyFont="1" applyFill="1"/>
    <xf numFmtId="0" fontId="46" fillId="2" borderId="0" xfId="0" applyFont="1" applyFill="1"/>
    <xf numFmtId="4" fontId="41" fillId="2" borderId="0" xfId="0" applyNumberFormat="1" applyFont="1" applyFill="1"/>
    <xf numFmtId="4" fontId="41" fillId="2" borderId="24" xfId="0" applyNumberFormat="1" applyFont="1" applyFill="1" applyBorder="1"/>
    <xf numFmtId="4" fontId="42" fillId="2" borderId="0" xfId="0" applyNumberFormat="1" applyFont="1" applyFill="1" applyAlignment="1">
      <alignment horizontal="center" vertical="center"/>
    </xf>
    <xf numFmtId="4" fontId="33" fillId="3" borderId="0" xfId="0" applyNumberFormat="1" applyFont="1" applyFill="1" applyAlignment="1">
      <alignment vertical="center"/>
    </xf>
    <xf numFmtId="4" fontId="33" fillId="2" borderId="0" xfId="0" applyNumberFormat="1" applyFont="1" applyFill="1" applyAlignment="1">
      <alignment vertical="center"/>
    </xf>
    <xf numFmtId="4" fontId="41" fillId="2" borderId="27" xfId="0" applyNumberFormat="1" applyFont="1" applyFill="1" applyBorder="1"/>
    <xf numFmtId="4" fontId="40" fillId="2" borderId="0" xfId="0" applyNumberFormat="1" applyFont="1" applyFill="1" applyAlignment="1">
      <alignment horizontal="right"/>
    </xf>
    <xf numFmtId="4" fontId="33" fillId="2" borderId="0" xfId="0" applyNumberFormat="1" applyFont="1" applyFill="1" applyAlignment="1">
      <alignment horizontal="left" vertical="center"/>
    </xf>
    <xf numFmtId="0" fontId="41" fillId="2" borderId="0" xfId="0" applyFont="1" applyFill="1" applyAlignment="1">
      <alignment horizontal="left"/>
    </xf>
    <xf numFmtId="4" fontId="41" fillId="2" borderId="0" xfId="0" applyNumberFormat="1" applyFont="1" applyFill="1" applyAlignment="1">
      <alignment horizontal="left"/>
    </xf>
    <xf numFmtId="0" fontId="41" fillId="2" borderId="23" xfId="0" applyFont="1" applyFill="1" applyBorder="1" applyAlignment="1">
      <alignment horizontal="left"/>
    </xf>
    <xf numFmtId="0" fontId="41" fillId="2" borderId="24" xfId="0" applyFont="1" applyFill="1" applyBorder="1" applyAlignment="1">
      <alignment horizontal="left"/>
    </xf>
    <xf numFmtId="4" fontId="41" fillId="2" borderId="24" xfId="0" applyNumberFormat="1" applyFont="1" applyFill="1" applyBorder="1" applyAlignment="1">
      <alignment horizontal="left"/>
    </xf>
    <xf numFmtId="0" fontId="41" fillId="2" borderId="25" xfId="0" applyFont="1" applyFill="1" applyBorder="1" applyAlignment="1">
      <alignment horizontal="left"/>
    </xf>
    <xf numFmtId="0" fontId="41" fillId="2" borderId="21" xfId="0" applyFont="1" applyFill="1" applyBorder="1" applyAlignment="1">
      <alignment horizontal="left"/>
    </xf>
    <xf numFmtId="0" fontId="41" fillId="2" borderId="22" xfId="0" applyFont="1" applyFill="1" applyBorder="1" applyAlignment="1">
      <alignment horizontal="left"/>
    </xf>
    <xf numFmtId="0" fontId="42" fillId="2" borderId="0" xfId="0" applyFont="1" applyFill="1" applyAlignment="1">
      <alignment horizontal="left"/>
    </xf>
    <xf numFmtId="4" fontId="42" fillId="2" borderId="0" xfId="0" applyNumberFormat="1" applyFont="1" applyFill="1" applyAlignment="1">
      <alignment horizontal="left" vertical="center"/>
    </xf>
    <xf numFmtId="0" fontId="36" fillId="2" borderId="21" xfId="0" applyFont="1" applyFill="1" applyBorder="1" applyAlignment="1">
      <alignment horizontal="left"/>
    </xf>
    <xf numFmtId="0" fontId="33" fillId="3" borderId="0" xfId="0" applyFont="1" applyFill="1" applyAlignment="1">
      <alignment horizontal="left" vertical="center"/>
    </xf>
    <xf numFmtId="4" fontId="33" fillId="3" borderId="0" xfId="0" applyNumberFormat="1" applyFont="1" applyFill="1" applyAlignment="1">
      <alignment horizontal="left" vertical="center"/>
    </xf>
    <xf numFmtId="0" fontId="36" fillId="2" borderId="22" xfId="0" applyFont="1" applyFill="1" applyBorder="1" applyAlignment="1">
      <alignment horizontal="left"/>
    </xf>
    <xf numFmtId="0" fontId="33" fillId="2" borderId="0" xfId="0" applyFont="1" applyFill="1" applyAlignment="1">
      <alignment horizontal="left" vertical="center"/>
    </xf>
    <xf numFmtId="0" fontId="38" fillId="2" borderId="21" xfId="0" applyFont="1" applyFill="1" applyBorder="1" applyAlignment="1">
      <alignment horizontal="left"/>
    </xf>
    <xf numFmtId="0" fontId="38" fillId="2" borderId="22" xfId="0" applyFont="1" applyFill="1" applyBorder="1" applyAlignment="1">
      <alignment horizontal="left"/>
    </xf>
    <xf numFmtId="0" fontId="37" fillId="2" borderId="0" xfId="0" applyFont="1" applyFill="1" applyAlignment="1">
      <alignment horizontal="left" vertical="center"/>
    </xf>
    <xf numFmtId="0" fontId="41" fillId="2" borderId="26" xfId="0" applyFont="1" applyFill="1" applyBorder="1" applyAlignment="1">
      <alignment horizontal="left"/>
    </xf>
    <xf numFmtId="4" fontId="41" fillId="2" borderId="27" xfId="0" applyNumberFormat="1" applyFont="1" applyFill="1" applyBorder="1" applyAlignment="1">
      <alignment horizontal="left"/>
    </xf>
    <xf numFmtId="0" fontId="41" fillId="2" borderId="28" xfId="0" applyFont="1" applyFill="1" applyBorder="1" applyAlignment="1">
      <alignment horizontal="left"/>
    </xf>
    <xf numFmtId="0" fontId="39" fillId="2" borderId="0" xfId="0" applyFont="1" applyFill="1" applyAlignment="1">
      <alignment horizontal="left"/>
    </xf>
    <xf numFmtId="3" fontId="31" fillId="2" borderId="32" xfId="0" applyNumberFormat="1" applyFont="1" applyFill="1" applyBorder="1" applyAlignment="1">
      <alignment horizontal="center" vertical="center"/>
    </xf>
    <xf numFmtId="4" fontId="31" fillId="2" borderId="32" xfId="0" applyNumberFormat="1" applyFont="1" applyFill="1" applyBorder="1" applyAlignment="1">
      <alignment vertical="center"/>
    </xf>
    <xf numFmtId="0" fontId="42" fillId="2" borderId="22" xfId="0" applyFont="1" applyFill="1" applyBorder="1" applyAlignment="1">
      <alignment horizontal="left"/>
    </xf>
    <xf numFmtId="0" fontId="41" fillId="2" borderId="33" xfId="0" applyFont="1" applyFill="1" applyBorder="1"/>
    <xf numFmtId="4" fontId="33" fillId="2" borderId="34" xfId="0" applyNumberFormat="1" applyFont="1" applyFill="1" applyBorder="1"/>
    <xf numFmtId="4" fontId="31" fillId="2" borderId="34" xfId="0" applyNumberFormat="1" applyFont="1" applyFill="1" applyBorder="1"/>
    <xf numFmtId="4" fontId="41" fillId="2" borderId="33" xfId="0" applyNumberFormat="1" applyFont="1" applyFill="1" applyBorder="1"/>
    <xf numFmtId="4" fontId="44" fillId="2" borderId="35" xfId="0" applyNumberFormat="1" applyFont="1" applyFill="1" applyBorder="1"/>
    <xf numFmtId="0" fontId="33" fillId="2" borderId="36" xfId="0" applyFont="1" applyFill="1" applyBorder="1" applyAlignment="1">
      <alignment horizontal="center"/>
    </xf>
    <xf numFmtId="0" fontId="41" fillId="2" borderId="37" xfId="0" applyFont="1" applyFill="1" applyBorder="1"/>
    <xf numFmtId="0" fontId="33" fillId="2" borderId="38" xfId="0" applyFont="1" applyFill="1" applyBorder="1" applyAlignment="1">
      <alignment horizontal="center"/>
    </xf>
    <xf numFmtId="4" fontId="33" fillId="2" borderId="39" xfId="0" applyNumberFormat="1" applyFont="1" applyFill="1" applyBorder="1"/>
    <xf numFmtId="0" fontId="31" fillId="2" borderId="38" xfId="0" applyFont="1" applyFill="1" applyBorder="1" applyAlignment="1">
      <alignment horizontal="center"/>
    </xf>
    <xf numFmtId="4" fontId="31" fillId="2" borderId="39" xfId="0" applyNumberFormat="1" applyFont="1" applyFill="1" applyBorder="1"/>
    <xf numFmtId="4" fontId="41" fillId="2" borderId="37" xfId="0" applyNumberFormat="1" applyFont="1" applyFill="1" applyBorder="1"/>
    <xf numFmtId="0" fontId="31" fillId="2" borderId="36" xfId="0" applyFont="1" applyFill="1" applyBorder="1" applyAlignment="1">
      <alignment horizontal="center"/>
    </xf>
    <xf numFmtId="0" fontId="46" fillId="2" borderId="36" xfId="0" applyFont="1" applyFill="1" applyBorder="1" applyAlignment="1">
      <alignment horizontal="center"/>
    </xf>
    <xf numFmtId="0" fontId="44" fillId="2" borderId="40" xfId="0" applyFont="1" applyFill="1" applyBorder="1" applyAlignment="1">
      <alignment horizontal="left"/>
    </xf>
    <xf numFmtId="4" fontId="44" fillId="2" borderId="41" xfId="0" applyNumberFormat="1" applyFont="1" applyFill="1" applyBorder="1"/>
    <xf numFmtId="4" fontId="31" fillId="2" borderId="0" xfId="0" applyNumberFormat="1" applyFont="1" applyFill="1" applyAlignment="1">
      <alignment horizontal="left" vertical="center"/>
    </xf>
    <xf numFmtId="0" fontId="36" fillId="2" borderId="0" xfId="0" applyFont="1" applyFill="1" applyAlignment="1">
      <alignment horizontal="left" vertical="center"/>
    </xf>
    <xf numFmtId="4" fontId="36" fillId="2" borderId="0" xfId="0" applyNumberFormat="1" applyFont="1" applyFill="1" applyAlignment="1">
      <alignment horizontal="left" vertical="center"/>
    </xf>
    <xf numFmtId="0" fontId="38" fillId="2" borderId="0" xfId="0" applyFont="1" applyFill="1" applyAlignment="1">
      <alignment horizontal="center" vertical="center"/>
    </xf>
    <xf numFmtId="0" fontId="32" fillId="2" borderId="0" xfId="0" applyFont="1" applyFill="1" applyAlignment="1">
      <alignment horizontal="center" vertical="center"/>
    </xf>
    <xf numFmtId="0" fontId="31" fillId="2" borderId="42" xfId="0" applyFont="1" applyFill="1" applyBorder="1" applyAlignment="1">
      <alignment horizontal="left" vertical="center"/>
    </xf>
    <xf numFmtId="0" fontId="31" fillId="2" borderId="43" xfId="0" applyFont="1" applyFill="1" applyBorder="1" applyAlignment="1">
      <alignment horizontal="left" vertical="center"/>
    </xf>
    <xf numFmtId="4" fontId="31" fillId="2" borderId="44" xfId="0" applyNumberFormat="1" applyFont="1" applyFill="1" applyBorder="1" applyAlignment="1">
      <alignment horizontal="left" vertical="center"/>
    </xf>
    <xf numFmtId="0" fontId="37" fillId="2" borderId="21" xfId="0" applyFont="1" applyFill="1" applyBorder="1" applyAlignment="1">
      <alignment horizontal="left"/>
    </xf>
    <xf numFmtId="0" fontId="47" fillId="2" borderId="0" xfId="0" applyFont="1" applyFill="1" applyAlignment="1">
      <alignment horizontal="left" vertical="center"/>
    </xf>
    <xf numFmtId="4" fontId="47" fillId="2" borderId="0" xfId="0" applyNumberFormat="1" applyFont="1" applyFill="1" applyAlignment="1">
      <alignment horizontal="left" vertical="center"/>
    </xf>
    <xf numFmtId="0" fontId="48" fillId="2" borderId="0" xfId="0" applyFont="1" applyFill="1" applyAlignment="1">
      <alignment horizontal="left" vertical="center"/>
    </xf>
    <xf numFmtId="4" fontId="31" fillId="2" borderId="45" xfId="0" applyNumberFormat="1" applyFont="1" applyFill="1" applyBorder="1" applyAlignment="1">
      <alignment vertical="center"/>
    </xf>
    <xf numFmtId="4" fontId="31" fillId="2" borderId="46" xfId="0" applyNumberFormat="1" applyFont="1" applyFill="1" applyBorder="1" applyAlignment="1">
      <alignment vertical="center"/>
    </xf>
    <xf numFmtId="4" fontId="31" fillId="2" borderId="47" xfId="0" applyNumberFormat="1" applyFont="1" applyFill="1" applyBorder="1" applyAlignment="1">
      <alignment vertical="center"/>
    </xf>
    <xf numFmtId="4" fontId="31" fillId="2" borderId="48" xfId="0" applyNumberFormat="1" applyFont="1" applyFill="1" applyBorder="1" applyAlignment="1">
      <alignment vertical="center"/>
    </xf>
    <xf numFmtId="4" fontId="31" fillId="2" borderId="49" xfId="0" applyNumberFormat="1" applyFont="1" applyFill="1" applyBorder="1" applyAlignment="1">
      <alignment vertical="center"/>
    </xf>
    <xf numFmtId="4" fontId="31" fillId="2" borderId="44" xfId="0" applyNumberFormat="1" applyFont="1" applyFill="1" applyBorder="1" applyAlignment="1">
      <alignment vertical="center"/>
    </xf>
    <xf numFmtId="0" fontId="31" fillId="2" borderId="50" xfId="0" applyFont="1" applyFill="1" applyBorder="1" applyAlignment="1">
      <alignment horizontal="center" vertical="center"/>
    </xf>
    <xf numFmtId="4" fontId="31" fillId="2" borderId="51" xfId="0" applyNumberFormat="1" applyFont="1" applyFill="1" applyBorder="1" applyAlignment="1">
      <alignment vertical="center"/>
    </xf>
    <xf numFmtId="4" fontId="31" fillId="2" borderId="52" xfId="0" applyNumberFormat="1" applyFont="1" applyFill="1" applyBorder="1" applyAlignment="1">
      <alignment vertical="center"/>
    </xf>
    <xf numFmtId="0" fontId="10" fillId="2" borderId="0" xfId="1" applyFont="1" applyFill="1" applyAlignment="1">
      <alignment horizontal="center" wrapText="1"/>
    </xf>
    <xf numFmtId="0" fontId="32" fillId="2" borderId="0" xfId="0" applyFont="1" applyFill="1" applyAlignment="1">
      <alignment horizontal="left"/>
    </xf>
    <xf numFmtId="0" fontId="31" fillId="2" borderId="53" xfId="0" applyFont="1" applyFill="1" applyBorder="1" applyAlignment="1">
      <alignment horizontal="left" vertical="center"/>
    </xf>
    <xf numFmtId="0" fontId="31" fillId="2" borderId="50" xfId="0" applyFont="1" applyFill="1" applyBorder="1" applyAlignment="1">
      <alignment horizontal="left" vertical="center"/>
    </xf>
    <xf numFmtId="4" fontId="31" fillId="2" borderId="54" xfId="0" applyNumberFormat="1" applyFont="1" applyFill="1" applyBorder="1" applyAlignment="1">
      <alignment vertical="center"/>
    </xf>
    <xf numFmtId="0" fontId="37" fillId="5" borderId="55" xfId="0" applyFont="1" applyFill="1" applyBorder="1" applyAlignment="1">
      <alignment horizontal="left" vertical="center"/>
    </xf>
    <xf numFmtId="0" fontId="37" fillId="5" borderId="56" xfId="0" applyFont="1" applyFill="1" applyBorder="1" applyAlignment="1">
      <alignment horizontal="left" vertical="center"/>
    </xf>
    <xf numFmtId="0" fontId="31" fillId="5" borderId="57" xfId="0" applyFont="1" applyFill="1" applyBorder="1" applyAlignment="1">
      <alignment horizontal="center" vertical="center"/>
    </xf>
    <xf numFmtId="0" fontId="33" fillId="5" borderId="58" xfId="0" applyFont="1" applyFill="1" applyBorder="1" applyAlignment="1">
      <alignment horizontal="left"/>
    </xf>
    <xf numFmtId="0" fontId="33" fillId="5" borderId="59" xfId="0" applyFont="1" applyFill="1" applyBorder="1" applyAlignment="1">
      <alignment horizontal="left"/>
    </xf>
    <xf numFmtId="0" fontId="10" fillId="5" borderId="60" xfId="1" applyFont="1" applyFill="1" applyBorder="1" applyAlignment="1">
      <alignment horizontal="center" wrapText="1"/>
    </xf>
    <xf numFmtId="0" fontId="12" fillId="5" borderId="61" xfId="1" applyFont="1" applyFill="1" applyBorder="1" applyAlignment="1">
      <alignment horizontal="center" wrapText="1"/>
    </xf>
    <xf numFmtId="0" fontId="12" fillId="5" borderId="62" xfId="1" applyFont="1" applyFill="1" applyBorder="1" applyAlignment="1">
      <alignment horizontal="center" wrapText="1"/>
    </xf>
    <xf numFmtId="0" fontId="12" fillId="5" borderId="63" xfId="1" applyFont="1" applyFill="1" applyBorder="1" applyAlignment="1">
      <alignment horizontal="center" wrapText="1"/>
    </xf>
    <xf numFmtId="0" fontId="33" fillId="5" borderId="59" xfId="0" applyFont="1" applyFill="1" applyBorder="1" applyAlignment="1">
      <alignment horizontal="left" vertical="center"/>
    </xf>
    <xf numFmtId="0" fontId="10" fillId="5" borderId="33" xfId="1" applyFont="1" applyFill="1" applyBorder="1" applyAlignment="1">
      <alignment horizontal="center" wrapText="1"/>
    </xf>
    <xf numFmtId="0" fontId="33" fillId="5" borderId="58" xfId="0" applyFont="1" applyFill="1" applyBorder="1" applyAlignment="1">
      <alignment horizontal="left" vertical="center"/>
    </xf>
    <xf numFmtId="0" fontId="31" fillId="2" borderId="64" xfId="0" applyFont="1" applyFill="1" applyBorder="1" applyAlignment="1">
      <alignment horizontal="center" vertical="center"/>
    </xf>
    <xf numFmtId="0" fontId="41" fillId="5" borderId="65" xfId="0" applyFont="1" applyFill="1" applyBorder="1"/>
    <xf numFmtId="0" fontId="41" fillId="5" borderId="66" xfId="0" applyFont="1" applyFill="1" applyBorder="1"/>
    <xf numFmtId="0" fontId="35" fillId="5" borderId="36" xfId="0" applyFont="1" applyFill="1" applyBorder="1"/>
    <xf numFmtId="4" fontId="36" fillId="2" borderId="67" xfId="0" applyNumberFormat="1" applyFont="1" applyFill="1" applyBorder="1" applyAlignment="1">
      <alignment horizontal="left" vertical="center"/>
    </xf>
    <xf numFmtId="0" fontId="32" fillId="2" borderId="0" xfId="0" applyFont="1" applyFill="1" applyAlignment="1">
      <alignment horizontal="left" vertical="center"/>
    </xf>
    <xf numFmtId="4" fontId="31" fillId="2" borderId="0" xfId="0" applyNumberFormat="1" applyFont="1" applyFill="1" applyAlignment="1">
      <alignment vertical="center"/>
    </xf>
    <xf numFmtId="0" fontId="31" fillId="2" borderId="42" xfId="0" applyFont="1" applyFill="1" applyBorder="1" applyAlignment="1">
      <alignment horizontal="center" vertical="center"/>
    </xf>
    <xf numFmtId="0" fontId="10" fillId="5" borderId="57" xfId="1" applyFont="1" applyFill="1" applyBorder="1" applyAlignment="1">
      <alignment horizontal="center" wrapText="1"/>
    </xf>
    <xf numFmtId="4" fontId="31" fillId="2" borderId="68" xfId="0" applyNumberFormat="1" applyFont="1" applyFill="1" applyBorder="1" applyAlignment="1">
      <alignment vertical="center"/>
    </xf>
    <xf numFmtId="4" fontId="38" fillId="2" borderId="0" xfId="0" applyNumberFormat="1" applyFont="1" applyFill="1" applyAlignment="1">
      <alignment horizontal="left"/>
    </xf>
    <xf numFmtId="4" fontId="31" fillId="2" borderId="69" xfId="0" applyNumberFormat="1" applyFont="1" applyFill="1" applyBorder="1" applyAlignment="1">
      <alignment vertical="center"/>
    </xf>
    <xf numFmtId="4" fontId="31" fillId="2" borderId="70" xfId="0" applyNumberFormat="1" applyFont="1" applyFill="1" applyBorder="1" applyAlignment="1">
      <alignment vertical="center"/>
    </xf>
    <xf numFmtId="0" fontId="41" fillId="2" borderId="0" xfId="0" applyFont="1" applyFill="1" applyAlignment="1">
      <alignment horizontal="left" vertical="center"/>
    </xf>
    <xf numFmtId="0" fontId="38" fillId="2" borderId="21" xfId="0" applyFont="1" applyFill="1" applyBorder="1" applyAlignment="1">
      <alignment horizontal="left" vertical="center"/>
    </xf>
    <xf numFmtId="0" fontId="31" fillId="5" borderId="71" xfId="0" applyFont="1" applyFill="1" applyBorder="1" applyAlignment="1">
      <alignment horizontal="center" vertical="center"/>
    </xf>
    <xf numFmtId="0" fontId="41" fillId="2" borderId="22" xfId="0" applyFont="1" applyFill="1" applyBorder="1" applyAlignment="1">
      <alignment horizontal="left" vertical="center"/>
    </xf>
    <xf numFmtId="0" fontId="31" fillId="5" borderId="33" xfId="0" applyFont="1" applyFill="1" applyBorder="1" applyAlignment="1">
      <alignment horizontal="center" vertical="center"/>
    </xf>
    <xf numFmtId="0" fontId="31" fillId="5" borderId="0" xfId="0" applyFont="1" applyFill="1" applyAlignment="1">
      <alignment horizontal="center" vertical="center"/>
    </xf>
    <xf numFmtId="0" fontId="31" fillId="5" borderId="60" xfId="0" applyFont="1" applyFill="1" applyBorder="1" applyAlignment="1">
      <alignment horizontal="center" vertical="center"/>
    </xf>
    <xf numFmtId="0" fontId="31" fillId="5" borderId="72" xfId="0" applyFont="1" applyFill="1" applyBorder="1" applyAlignment="1">
      <alignment horizontal="center" vertical="center"/>
    </xf>
    <xf numFmtId="0" fontId="10" fillId="5" borderId="73" xfId="1" applyFont="1" applyFill="1" applyBorder="1" applyAlignment="1">
      <alignment horizontal="center" vertical="center" wrapText="1"/>
    </xf>
    <xf numFmtId="0" fontId="10" fillId="5" borderId="74" xfId="1" applyFont="1" applyFill="1" applyBorder="1" applyAlignment="1">
      <alignment horizontal="center" vertical="center" wrapText="1"/>
    </xf>
    <xf numFmtId="4" fontId="16" fillId="2" borderId="0" xfId="0" applyNumberFormat="1" applyFont="1" applyFill="1" applyAlignment="1">
      <alignment horizontal="left" vertical="center"/>
    </xf>
    <xf numFmtId="0" fontId="36" fillId="2" borderId="0" xfId="0" applyFont="1" applyFill="1" applyAlignment="1">
      <alignment horizontal="left"/>
    </xf>
    <xf numFmtId="0" fontId="31" fillId="4" borderId="0" xfId="0" applyFont="1" applyFill="1" applyAlignment="1">
      <alignment vertical="center" wrapText="1"/>
    </xf>
    <xf numFmtId="0" fontId="31" fillId="5" borderId="55" xfId="0" applyFont="1" applyFill="1" applyBorder="1" applyAlignment="1">
      <alignment horizontal="center" vertical="center"/>
    </xf>
    <xf numFmtId="0" fontId="31" fillId="5" borderId="67" xfId="0" applyFont="1" applyFill="1" applyBorder="1" applyAlignment="1">
      <alignment horizontal="center" vertical="center"/>
    </xf>
    <xf numFmtId="0" fontId="31" fillId="5" borderId="58" xfId="0" applyFont="1" applyFill="1" applyBorder="1" applyAlignment="1">
      <alignment horizontal="center" vertical="center"/>
    </xf>
    <xf numFmtId="0" fontId="31" fillId="5" borderId="56" xfId="0" applyFont="1" applyFill="1" applyBorder="1" applyAlignment="1">
      <alignment horizontal="center" vertical="center"/>
    </xf>
    <xf numFmtId="0" fontId="31" fillId="5" borderId="75" xfId="0" applyFont="1" applyFill="1" applyBorder="1" applyAlignment="1">
      <alignment horizontal="center" vertical="center"/>
    </xf>
    <xf numFmtId="0" fontId="31" fillId="5" borderId="59" xfId="0" applyFont="1" applyFill="1" applyBorder="1" applyAlignment="1">
      <alignment horizontal="center" vertical="center"/>
    </xf>
    <xf numFmtId="4" fontId="33" fillId="2" borderId="64" xfId="0" applyNumberFormat="1" applyFont="1" applyFill="1" applyBorder="1" applyAlignment="1">
      <alignment horizontal="left" vertical="center"/>
    </xf>
    <xf numFmtId="0" fontId="31" fillId="5" borderId="54" xfId="0" applyFont="1" applyFill="1" applyBorder="1" applyAlignment="1">
      <alignment horizontal="center" vertical="center"/>
    </xf>
    <xf numFmtId="4" fontId="31" fillId="2" borderId="46" xfId="0" applyNumberFormat="1" applyFont="1" applyFill="1" applyBorder="1"/>
    <xf numFmtId="4" fontId="31" fillId="2" borderId="44" xfId="0" applyNumberFormat="1" applyFont="1" applyFill="1" applyBorder="1"/>
    <xf numFmtId="0" fontId="31" fillId="2" borderId="58" xfId="0" applyFont="1" applyFill="1" applyBorder="1" applyAlignment="1">
      <alignment horizontal="left" vertical="center"/>
    </xf>
    <xf numFmtId="0" fontId="31" fillId="2" borderId="72" xfId="0" applyFont="1" applyFill="1" applyBorder="1" applyAlignment="1">
      <alignment horizontal="center" vertical="center"/>
    </xf>
    <xf numFmtId="0" fontId="31" fillId="2" borderId="59" xfId="0" applyFont="1" applyFill="1" applyBorder="1" applyAlignment="1">
      <alignment horizontal="center" vertical="center"/>
    </xf>
    <xf numFmtId="0" fontId="31" fillId="2" borderId="54" xfId="0" applyFont="1" applyFill="1" applyBorder="1" applyAlignment="1">
      <alignment vertical="center"/>
    </xf>
    <xf numFmtId="0" fontId="31" fillId="2" borderId="72" xfId="0" applyFont="1" applyFill="1" applyBorder="1"/>
    <xf numFmtId="0" fontId="32" fillId="2" borderId="0" xfId="0" applyFont="1" applyFill="1"/>
    <xf numFmtId="0" fontId="31" fillId="5" borderId="64" xfId="0" applyFont="1" applyFill="1" applyBorder="1" applyAlignment="1">
      <alignment horizontal="center" vertical="center"/>
    </xf>
    <xf numFmtId="0" fontId="33" fillId="5" borderId="60" xfId="0" applyFont="1" applyFill="1" applyBorder="1" applyAlignment="1">
      <alignment horizontal="center" vertical="center"/>
    </xf>
    <xf numFmtId="0" fontId="41" fillId="2" borderId="43" xfId="0" applyFont="1" applyFill="1" applyBorder="1" applyAlignment="1">
      <alignment horizontal="left"/>
    </xf>
    <xf numFmtId="0" fontId="31" fillId="2" borderId="21" xfId="0" applyFont="1" applyFill="1" applyBorder="1" applyAlignment="1">
      <alignment horizontal="left"/>
    </xf>
    <xf numFmtId="0" fontId="31" fillId="2" borderId="22" xfId="0" applyFont="1" applyFill="1" applyBorder="1" applyAlignment="1">
      <alignment horizontal="left"/>
    </xf>
    <xf numFmtId="4" fontId="31" fillId="2" borderId="54" xfId="0" applyNumberFormat="1" applyFont="1" applyFill="1" applyBorder="1"/>
    <xf numFmtId="10" fontId="49" fillId="6" borderId="76" xfId="0" applyNumberFormat="1" applyFont="1" applyFill="1" applyBorder="1" applyAlignment="1">
      <alignment horizontal="right"/>
    </xf>
    <xf numFmtId="10" fontId="31" fillId="2" borderId="64" xfId="2" applyNumberFormat="1" applyFont="1" applyFill="1" applyBorder="1" applyAlignment="1">
      <alignment horizontal="right"/>
    </xf>
    <xf numFmtId="10" fontId="10" fillId="2" borderId="0" xfId="0" applyNumberFormat="1" applyFont="1" applyFill="1" applyAlignment="1">
      <alignment horizontal="right" vertical="center"/>
    </xf>
    <xf numFmtId="10" fontId="31" fillId="2" borderId="64" xfId="0" applyNumberFormat="1" applyFont="1" applyFill="1" applyBorder="1" applyAlignment="1">
      <alignment horizontal="right"/>
    </xf>
    <xf numFmtId="4" fontId="50" fillId="6" borderId="76" xfId="0" applyNumberFormat="1" applyFont="1" applyFill="1" applyBorder="1"/>
    <xf numFmtId="0" fontId="50" fillId="6" borderId="0" xfId="0" applyFont="1" applyFill="1" applyAlignment="1">
      <alignment horizontal="left"/>
    </xf>
    <xf numFmtId="4" fontId="50" fillId="6" borderId="0" xfId="0" applyNumberFormat="1" applyFont="1" applyFill="1"/>
    <xf numFmtId="0" fontId="32" fillId="2" borderId="0" xfId="0" applyFont="1" applyFill="1" applyAlignment="1">
      <alignment vertical="center"/>
    </xf>
    <xf numFmtId="4" fontId="41" fillId="2" borderId="77" xfId="0" applyNumberFormat="1" applyFont="1" applyFill="1" applyBorder="1"/>
    <xf numFmtId="4" fontId="44" fillId="2" borderId="78" xfId="0" applyNumberFormat="1" applyFont="1" applyFill="1" applyBorder="1"/>
    <xf numFmtId="0" fontId="44" fillId="5" borderId="75" xfId="0" applyFont="1" applyFill="1" applyBorder="1" applyAlignment="1">
      <alignment horizontal="center"/>
    </xf>
    <xf numFmtId="0" fontId="44" fillId="5" borderId="79" xfId="0" applyFont="1" applyFill="1" applyBorder="1" applyAlignment="1">
      <alignment horizontal="center"/>
    </xf>
    <xf numFmtId="0" fontId="41" fillId="2" borderId="79" xfId="0" applyFont="1" applyFill="1" applyBorder="1"/>
    <xf numFmtId="4" fontId="33" fillId="2" borderId="80" xfId="0" applyNumberFormat="1" applyFont="1" applyFill="1" applyBorder="1"/>
    <xf numFmtId="4" fontId="31" fillId="2" borderId="80" xfId="0" applyNumberFormat="1" applyFont="1" applyFill="1" applyBorder="1"/>
    <xf numFmtId="4" fontId="41" fillId="2" borderId="79" xfId="0" applyNumberFormat="1" applyFont="1" applyFill="1" applyBorder="1"/>
    <xf numFmtId="4" fontId="44" fillId="2" borderId="81" xfId="0" applyNumberFormat="1" applyFont="1" applyFill="1" applyBorder="1"/>
    <xf numFmtId="0" fontId="44" fillId="5" borderId="82" xfId="0" applyFont="1" applyFill="1" applyBorder="1" applyAlignment="1">
      <alignment horizontal="center"/>
    </xf>
    <xf numFmtId="0" fontId="41" fillId="2" borderId="82" xfId="0" applyFont="1" applyFill="1" applyBorder="1"/>
    <xf numFmtId="4" fontId="33" fillId="2" borderId="83" xfId="0" applyNumberFormat="1" applyFont="1" applyFill="1" applyBorder="1"/>
    <xf numFmtId="4" fontId="31" fillId="2" borderId="83" xfId="0" applyNumberFormat="1" applyFont="1" applyFill="1" applyBorder="1"/>
    <xf numFmtId="4" fontId="41" fillId="2" borderId="82" xfId="0" applyNumberFormat="1" applyFont="1" applyFill="1" applyBorder="1"/>
    <xf numFmtId="4" fontId="44" fillId="2" borderId="84" xfId="0" applyNumberFormat="1" applyFont="1" applyFill="1" applyBorder="1"/>
    <xf numFmtId="0" fontId="41" fillId="5" borderId="55" xfId="0" applyFont="1" applyFill="1" applyBorder="1"/>
    <xf numFmtId="0" fontId="41" fillId="5" borderId="71" xfId="0" applyFont="1" applyFill="1" applyBorder="1"/>
    <xf numFmtId="0" fontId="31" fillId="5" borderId="85" xfId="0" applyFont="1" applyFill="1" applyBorder="1" applyAlignment="1">
      <alignment horizontal="center"/>
    </xf>
    <xf numFmtId="0" fontId="31" fillId="5" borderId="86" xfId="0" applyFont="1" applyFill="1" applyBorder="1" applyAlignment="1">
      <alignment horizontal="center"/>
    </xf>
    <xf numFmtId="0" fontId="31" fillId="5" borderId="56" xfId="0" applyFont="1" applyFill="1" applyBorder="1" applyAlignment="1">
      <alignment horizontal="center"/>
    </xf>
    <xf numFmtId="0" fontId="35" fillId="5" borderId="67" xfId="0" applyFont="1" applyFill="1" applyBorder="1"/>
    <xf numFmtId="0" fontId="33" fillId="2" borderId="67" xfId="0" applyFont="1" applyFill="1" applyBorder="1" applyAlignment="1">
      <alignment horizontal="center"/>
    </xf>
    <xf numFmtId="0" fontId="41" fillId="2" borderId="75" xfId="0" applyFont="1" applyFill="1" applyBorder="1"/>
    <xf numFmtId="0" fontId="33" fillId="2" borderId="87" xfId="0" applyFont="1" applyFill="1" applyBorder="1" applyAlignment="1">
      <alignment horizontal="center"/>
    </xf>
    <xf numFmtId="4" fontId="33" fillId="2" borderId="88" xfId="0" applyNumberFormat="1" applyFont="1" applyFill="1" applyBorder="1"/>
    <xf numFmtId="0" fontId="31" fillId="2" borderId="87" xfId="0" applyFont="1" applyFill="1" applyBorder="1" applyAlignment="1">
      <alignment horizontal="center"/>
    </xf>
    <xf numFmtId="4" fontId="31" fillId="2" borderId="88" xfId="0" applyNumberFormat="1" applyFont="1" applyFill="1" applyBorder="1"/>
    <xf numFmtId="0" fontId="46" fillId="2" borderId="67" xfId="0" applyFont="1" applyFill="1" applyBorder="1" applyAlignment="1">
      <alignment horizontal="center"/>
    </xf>
    <xf numFmtId="0" fontId="44" fillId="2" borderId="89" xfId="0" applyFont="1" applyFill="1" applyBorder="1" applyAlignment="1">
      <alignment horizontal="left"/>
    </xf>
    <xf numFmtId="0" fontId="31" fillId="2" borderId="67" xfId="0" applyFont="1" applyFill="1" applyBorder="1" applyAlignment="1">
      <alignment horizontal="center"/>
    </xf>
    <xf numFmtId="0" fontId="43" fillId="2" borderId="67" xfId="0" applyFont="1" applyFill="1" applyBorder="1" applyAlignment="1">
      <alignment horizontal="center"/>
    </xf>
    <xf numFmtId="0" fontId="33" fillId="2" borderId="90" xfId="0" applyFont="1" applyFill="1" applyBorder="1" applyAlignment="1">
      <alignment horizontal="center"/>
    </xf>
    <xf numFmtId="0" fontId="33" fillId="2" borderId="89" xfId="0" applyFont="1" applyFill="1" applyBorder="1" applyAlignment="1">
      <alignment horizontal="center"/>
    </xf>
    <xf numFmtId="0" fontId="44" fillId="2" borderId="89" xfId="0" applyFont="1" applyFill="1" applyBorder="1" applyAlignment="1">
      <alignment horizontal="center"/>
    </xf>
    <xf numFmtId="4" fontId="33" fillId="2" borderId="91" xfId="0" applyNumberFormat="1" applyFont="1" applyFill="1" applyBorder="1"/>
    <xf numFmtId="2" fontId="41" fillId="2" borderId="92" xfId="0" applyNumberFormat="1" applyFont="1" applyFill="1" applyBorder="1"/>
    <xf numFmtId="4" fontId="33" fillId="2" borderId="35" xfId="0" applyNumberFormat="1" applyFont="1" applyFill="1" applyBorder="1"/>
    <xf numFmtId="0" fontId="42" fillId="5" borderId="93" xfId="0" applyFont="1" applyFill="1" applyBorder="1" applyAlignment="1">
      <alignment horizontal="center" vertical="center"/>
    </xf>
    <xf numFmtId="0" fontId="42" fillId="5" borderId="79" xfId="0" applyFont="1" applyFill="1" applyBorder="1" applyAlignment="1">
      <alignment horizontal="center" vertical="center"/>
    </xf>
    <xf numFmtId="0" fontId="37" fillId="5" borderId="80" xfId="0" applyFont="1" applyFill="1" applyBorder="1" applyAlignment="1">
      <alignment horizontal="center" vertical="center"/>
    </xf>
    <xf numFmtId="0" fontId="41" fillId="2" borderId="94" xfId="0" applyFont="1" applyFill="1" applyBorder="1"/>
    <xf numFmtId="0" fontId="41" fillId="2" borderId="95" xfId="0" applyFont="1" applyFill="1" applyBorder="1"/>
    <xf numFmtId="0" fontId="33" fillId="2" borderId="96" xfId="0" applyFont="1" applyFill="1" applyBorder="1" applyAlignment="1">
      <alignment horizontal="left"/>
    </xf>
    <xf numFmtId="0" fontId="31" fillId="2" borderId="97" xfId="0" applyFont="1" applyFill="1" applyBorder="1" applyAlignment="1">
      <alignment horizontal="left"/>
    </xf>
    <xf numFmtId="0" fontId="33" fillId="2" borderId="98" xfId="0" applyFont="1" applyFill="1" applyBorder="1" applyAlignment="1">
      <alignment horizontal="left"/>
    </xf>
    <xf numFmtId="0" fontId="46" fillId="2" borderId="96" xfId="0" applyFont="1" applyFill="1" applyBorder="1"/>
    <xf numFmtId="0" fontId="41" fillId="2" borderId="99" xfId="0" applyFont="1" applyFill="1" applyBorder="1"/>
    <xf numFmtId="0" fontId="41" fillId="2" borderId="100" xfId="0" applyFont="1" applyFill="1" applyBorder="1"/>
    <xf numFmtId="4" fontId="41" fillId="2" borderId="101" xfId="0" applyNumberFormat="1" applyFont="1" applyFill="1" applyBorder="1"/>
    <xf numFmtId="4" fontId="31" fillId="2" borderId="102" xfId="0" applyNumberFormat="1" applyFont="1" applyFill="1" applyBorder="1"/>
    <xf numFmtId="4" fontId="33" fillId="2" borderId="103" xfId="0" applyNumberFormat="1" applyFont="1" applyFill="1" applyBorder="1"/>
    <xf numFmtId="0" fontId="33" fillId="2" borderId="104" xfId="0" applyFont="1" applyFill="1" applyBorder="1" applyAlignment="1">
      <alignment horizontal="left"/>
    </xf>
    <xf numFmtId="0" fontId="44" fillId="2" borderId="105" xfId="0" applyFont="1" applyFill="1" applyBorder="1" applyAlignment="1">
      <alignment horizontal="left"/>
    </xf>
    <xf numFmtId="4" fontId="33" fillId="2" borderId="106" xfId="0" applyNumberFormat="1" applyFont="1" applyFill="1" applyBorder="1"/>
    <xf numFmtId="0" fontId="41" fillId="0" borderId="0" xfId="0" applyFont="1" applyAlignment="1" applyProtection="1">
      <alignment horizontal="left"/>
      <protection locked="0"/>
    </xf>
    <xf numFmtId="0" fontId="41" fillId="0" borderId="22" xfId="0" applyFont="1" applyBorder="1" applyAlignment="1" applyProtection="1">
      <alignment horizontal="left"/>
      <protection locked="0"/>
    </xf>
    <xf numFmtId="0" fontId="33" fillId="0" borderId="0" xfId="0" applyFont="1" applyAlignment="1" applyProtection="1">
      <alignment horizontal="left" vertical="center"/>
      <protection locked="0"/>
    </xf>
    <xf numFmtId="0" fontId="33" fillId="0" borderId="22" xfId="0" applyFont="1" applyBorder="1" applyAlignment="1" applyProtection="1">
      <alignment horizontal="left" vertical="center"/>
      <protection locked="0"/>
    </xf>
    <xf numFmtId="0" fontId="42" fillId="0" borderId="0" xfId="0" applyFont="1" applyAlignment="1" applyProtection="1">
      <alignment horizontal="left"/>
      <protection locked="0"/>
    </xf>
    <xf numFmtId="0" fontId="42" fillId="0" borderId="22" xfId="0" applyFont="1" applyBorder="1" applyAlignment="1" applyProtection="1">
      <alignment horizontal="left"/>
      <protection locked="0"/>
    </xf>
    <xf numFmtId="0" fontId="41" fillId="0" borderId="0" xfId="0" applyFont="1" applyAlignment="1" applyProtection="1">
      <alignment horizontal="left" vertical="center"/>
      <protection locked="0"/>
    </xf>
    <xf numFmtId="0" fontId="41" fillId="0" borderId="22" xfId="0" applyFont="1" applyBorder="1" applyAlignment="1" applyProtection="1">
      <alignment horizontal="left" vertical="center"/>
      <protection locked="0"/>
    </xf>
    <xf numFmtId="0" fontId="41" fillId="0" borderId="27" xfId="0" applyFont="1" applyBorder="1" applyAlignment="1" applyProtection="1">
      <alignment horizontal="left"/>
      <protection locked="0"/>
    </xf>
    <xf numFmtId="0" fontId="41" fillId="0" borderId="28" xfId="0" applyFont="1" applyBorder="1" applyAlignment="1" applyProtection="1">
      <alignment horizontal="left"/>
      <protection locked="0"/>
    </xf>
    <xf numFmtId="164" fontId="38" fillId="2" borderId="2" xfId="0" applyNumberFormat="1" applyFont="1" applyFill="1" applyBorder="1" applyAlignment="1" applyProtection="1">
      <alignment horizontal="center"/>
      <protection locked="0"/>
    </xf>
    <xf numFmtId="164" fontId="38" fillId="2" borderId="3" xfId="0" applyNumberFormat="1" applyFont="1" applyFill="1" applyBorder="1" applyAlignment="1" applyProtection="1">
      <alignment horizontal="center"/>
      <protection locked="0"/>
    </xf>
    <xf numFmtId="10" fontId="41" fillId="2" borderId="2" xfId="0" applyNumberFormat="1" applyFont="1" applyFill="1" applyBorder="1" applyAlignment="1" applyProtection="1">
      <alignment horizontal="center"/>
      <protection locked="0"/>
    </xf>
    <xf numFmtId="3" fontId="41" fillId="2" borderId="2" xfId="0" applyNumberFormat="1" applyFont="1" applyFill="1" applyBorder="1" applyProtection="1">
      <protection locked="0"/>
    </xf>
    <xf numFmtId="4" fontId="41" fillId="2" borderId="2" xfId="0" applyNumberFormat="1" applyFont="1" applyFill="1" applyBorder="1" applyProtection="1">
      <protection locked="0"/>
    </xf>
    <xf numFmtId="10" fontId="41" fillId="2" borderId="3" xfId="0" applyNumberFormat="1" applyFont="1" applyFill="1" applyBorder="1" applyAlignment="1" applyProtection="1">
      <alignment horizontal="center"/>
      <protection locked="0"/>
    </xf>
    <xf numFmtId="3" fontId="41" fillId="2" borderId="3" xfId="0" applyNumberFormat="1" applyFont="1" applyFill="1" applyBorder="1" applyProtection="1">
      <protection locked="0"/>
    </xf>
    <xf numFmtId="4" fontId="41" fillId="2" borderId="3" xfId="0" applyNumberFormat="1" applyFont="1" applyFill="1" applyBorder="1" applyProtection="1">
      <protection locked="0"/>
    </xf>
    <xf numFmtId="4" fontId="31" fillId="2" borderId="34" xfId="0" applyNumberFormat="1" applyFont="1" applyFill="1" applyBorder="1" applyProtection="1">
      <protection locked="0"/>
    </xf>
    <xf numFmtId="4" fontId="31" fillId="2" borderId="80" xfId="0" applyNumberFormat="1" applyFont="1" applyFill="1" applyBorder="1" applyProtection="1">
      <protection locked="0"/>
    </xf>
    <xf numFmtId="4" fontId="31" fillId="2" borderId="83" xfId="0" applyNumberFormat="1" applyFont="1" applyFill="1" applyBorder="1" applyProtection="1">
      <protection locked="0"/>
    </xf>
    <xf numFmtId="4" fontId="31" fillId="2" borderId="88" xfId="0" applyNumberFormat="1" applyFont="1" applyFill="1" applyBorder="1" applyProtection="1">
      <protection locked="0"/>
    </xf>
    <xf numFmtId="4" fontId="31" fillId="2" borderId="39" xfId="0" applyNumberFormat="1" applyFont="1" applyFill="1" applyBorder="1" applyProtection="1">
      <protection locked="0"/>
    </xf>
    <xf numFmtId="4" fontId="46" fillId="2" borderId="33" xfId="0" applyNumberFormat="1" applyFont="1" applyFill="1" applyBorder="1" applyProtection="1">
      <protection locked="0"/>
    </xf>
    <xf numFmtId="4" fontId="46" fillId="2" borderId="37" xfId="0" applyNumberFormat="1" applyFont="1" applyFill="1" applyBorder="1" applyProtection="1">
      <protection locked="0"/>
    </xf>
    <xf numFmtId="4" fontId="46" fillId="2" borderId="101" xfId="0" applyNumberFormat="1" applyFont="1" applyFill="1" applyBorder="1" applyProtection="1">
      <protection locked="0"/>
    </xf>
    <xf numFmtId="4" fontId="33" fillId="2" borderId="106" xfId="0" applyNumberFormat="1" applyFont="1" applyFill="1" applyBorder="1" applyProtection="1">
      <protection locked="0"/>
    </xf>
    <xf numFmtId="4" fontId="31" fillId="2" borderId="45" xfId="0" applyNumberFormat="1" applyFont="1" applyFill="1" applyBorder="1" applyAlignment="1" applyProtection="1">
      <alignment vertical="center"/>
      <protection locked="0"/>
    </xf>
    <xf numFmtId="4" fontId="31" fillId="2" borderId="47" xfId="0" applyNumberFormat="1" applyFont="1" applyFill="1" applyBorder="1" applyAlignment="1" applyProtection="1">
      <alignment vertical="center"/>
      <protection locked="0"/>
    </xf>
    <xf numFmtId="4" fontId="31" fillId="2" borderId="48" xfId="0" applyNumberFormat="1" applyFont="1" applyFill="1" applyBorder="1" applyAlignment="1" applyProtection="1">
      <alignment vertical="center"/>
      <protection locked="0"/>
    </xf>
    <xf numFmtId="10" fontId="31" fillId="2" borderId="44" xfId="2" applyNumberFormat="1" applyFont="1" applyFill="1" applyBorder="1" applyAlignment="1">
      <alignment vertical="center"/>
    </xf>
    <xf numFmtId="4" fontId="31" fillId="2" borderId="61" xfId="0" applyNumberFormat="1" applyFont="1" applyFill="1" applyBorder="1" applyAlignment="1" applyProtection="1">
      <alignment vertical="center"/>
      <protection locked="0"/>
    </xf>
    <xf numFmtId="4" fontId="31" fillId="2" borderId="46" xfId="0" applyNumberFormat="1" applyFont="1" applyFill="1" applyBorder="1" applyAlignment="1" applyProtection="1">
      <alignment vertical="center"/>
      <protection locked="0"/>
    </xf>
    <xf numFmtId="4" fontId="31" fillId="2" borderId="107" xfId="0" applyNumberFormat="1" applyFont="1" applyFill="1" applyBorder="1" applyAlignment="1" applyProtection="1">
      <alignment vertical="center"/>
      <protection locked="0"/>
    </xf>
    <xf numFmtId="4" fontId="31" fillId="2" borderId="68" xfId="0" applyNumberFormat="1" applyFont="1" applyFill="1" applyBorder="1" applyAlignment="1" applyProtection="1">
      <alignment vertical="center"/>
      <protection locked="0"/>
    </xf>
    <xf numFmtId="0" fontId="38" fillId="2" borderId="54" xfId="0" applyFont="1" applyFill="1" applyBorder="1" applyAlignment="1" applyProtection="1">
      <alignment horizontal="center" vertical="center"/>
      <protection locked="0"/>
    </xf>
    <xf numFmtId="0" fontId="31" fillId="2" borderId="4" xfId="0" applyFont="1" applyFill="1" applyBorder="1"/>
    <xf numFmtId="10" fontId="41" fillId="2" borderId="2" xfId="0" applyNumberFormat="1" applyFont="1" applyFill="1" applyBorder="1" applyProtection="1">
      <protection locked="0"/>
    </xf>
    <xf numFmtId="10" fontId="41" fillId="2" borderId="3" xfId="0" applyNumberFormat="1" applyFont="1" applyFill="1" applyBorder="1" applyProtection="1">
      <protection locked="0"/>
    </xf>
    <xf numFmtId="4" fontId="31" fillId="2" borderId="69" xfId="0" applyNumberFormat="1" applyFont="1" applyFill="1" applyBorder="1" applyAlignment="1" applyProtection="1">
      <alignment vertical="center"/>
      <protection locked="0"/>
    </xf>
    <xf numFmtId="0" fontId="51" fillId="2" borderId="0" xfId="0" applyFont="1" applyFill="1" applyAlignment="1">
      <alignment horizontal="center" vertical="center"/>
    </xf>
    <xf numFmtId="4" fontId="31" fillId="2" borderId="108" xfId="0" applyNumberFormat="1" applyFont="1" applyFill="1" applyBorder="1" applyAlignment="1">
      <alignment horizontal="right" vertical="center"/>
    </xf>
    <xf numFmtId="0" fontId="38" fillId="5" borderId="55" xfId="0" applyFont="1" applyFill="1" applyBorder="1" applyAlignment="1">
      <alignment vertical="center"/>
    </xf>
    <xf numFmtId="0" fontId="38" fillId="5" borderId="56" xfId="0" applyFont="1" applyFill="1" applyBorder="1" applyAlignment="1">
      <alignment vertical="center"/>
    </xf>
    <xf numFmtId="4" fontId="37" fillId="5" borderId="53" xfId="0" applyNumberFormat="1" applyFont="1" applyFill="1" applyBorder="1" applyAlignment="1">
      <alignment horizontal="right" vertical="center"/>
    </xf>
    <xf numFmtId="1" fontId="37" fillId="5" borderId="50" xfId="0" applyNumberFormat="1" applyFont="1" applyFill="1" applyBorder="1" applyAlignment="1">
      <alignment horizontal="center" vertical="center"/>
    </xf>
    <xf numFmtId="1" fontId="33" fillId="5" borderId="64" xfId="0" applyNumberFormat="1" applyFont="1" applyFill="1" applyBorder="1" applyAlignment="1">
      <alignment horizontal="left" vertical="center"/>
    </xf>
    <xf numFmtId="0" fontId="38" fillId="2" borderId="0" xfId="0" applyFont="1" applyFill="1" applyAlignment="1">
      <alignment horizontal="left" vertical="center"/>
    </xf>
    <xf numFmtId="0" fontId="42" fillId="2" borderId="21" xfId="0" applyFont="1" applyFill="1" applyBorder="1" applyAlignment="1">
      <alignment horizontal="center"/>
    </xf>
    <xf numFmtId="0" fontId="33" fillId="5" borderId="58" xfId="0" applyFont="1" applyFill="1" applyBorder="1" applyAlignment="1">
      <alignment vertical="center"/>
    </xf>
    <xf numFmtId="0" fontId="42" fillId="5" borderId="59" xfId="0" applyFont="1" applyFill="1" applyBorder="1" applyAlignment="1">
      <alignment horizontal="center" vertical="center"/>
    </xf>
    <xf numFmtId="4" fontId="42" fillId="5" borderId="54" xfId="0" applyNumberFormat="1" applyFont="1" applyFill="1" applyBorder="1" applyAlignment="1">
      <alignment horizontal="center" vertical="center"/>
    </xf>
    <xf numFmtId="0" fontId="31" fillId="2" borderId="53" xfId="0" applyFont="1" applyFill="1" applyBorder="1" applyAlignment="1">
      <alignment vertical="center"/>
    </xf>
    <xf numFmtId="0" fontId="31" fillId="2" borderId="64" xfId="0" applyFont="1" applyFill="1" applyBorder="1" applyAlignment="1">
      <alignment vertical="center"/>
    </xf>
    <xf numFmtId="0" fontId="31" fillId="2" borderId="0" xfId="0" applyFont="1" applyFill="1" applyAlignment="1">
      <alignment horizontal="left" vertical="center"/>
    </xf>
    <xf numFmtId="0" fontId="52" fillId="2" borderId="21" xfId="0" applyFont="1" applyFill="1" applyBorder="1" applyAlignment="1">
      <alignment horizontal="left"/>
    </xf>
    <xf numFmtId="0" fontId="52" fillId="2" borderId="109" xfId="0" applyFont="1" applyFill="1" applyBorder="1" applyAlignment="1">
      <alignment vertical="center"/>
    </xf>
    <xf numFmtId="0" fontId="52" fillId="2" borderId="110" xfId="0" applyFont="1" applyFill="1" applyBorder="1" applyAlignment="1">
      <alignment vertical="center"/>
    </xf>
    <xf numFmtId="4" fontId="52" fillId="2" borderId="45" xfId="0" applyNumberFormat="1" applyFont="1" applyFill="1" applyBorder="1" applyAlignment="1">
      <alignment vertical="center"/>
    </xf>
    <xf numFmtId="0" fontId="52" fillId="2" borderId="0" xfId="0" applyFont="1" applyFill="1" applyAlignment="1">
      <alignment horizontal="left" vertical="center"/>
    </xf>
    <xf numFmtId="0" fontId="31" fillId="2" borderId="42" xfId="0" applyFont="1" applyFill="1" applyBorder="1" applyAlignment="1">
      <alignment vertical="center"/>
    </xf>
    <xf numFmtId="0" fontId="31" fillId="2" borderId="44" xfId="0" applyFont="1" applyFill="1" applyBorder="1" applyAlignment="1">
      <alignment vertical="center"/>
    </xf>
    <xf numFmtId="1" fontId="33" fillId="5" borderId="60" xfId="0" applyNumberFormat="1" applyFont="1" applyFill="1" applyBorder="1" applyAlignment="1">
      <alignment horizontal="center" vertical="center"/>
    </xf>
    <xf numFmtId="4" fontId="31" fillId="2" borderId="42" xfId="0" applyNumberFormat="1" applyFont="1" applyFill="1" applyBorder="1" applyAlignment="1">
      <alignment horizontal="left" vertical="center"/>
    </xf>
    <xf numFmtId="4" fontId="31" fillId="2" borderId="43" xfId="0" applyNumberFormat="1" applyFont="1" applyFill="1" applyBorder="1" applyAlignment="1">
      <alignment horizontal="left" vertical="center"/>
    </xf>
    <xf numFmtId="4" fontId="31" fillId="2" borderId="64" xfId="0" applyNumberFormat="1" applyFont="1" applyFill="1" applyBorder="1" applyAlignment="1">
      <alignment horizontal="left" vertical="center"/>
    </xf>
    <xf numFmtId="0" fontId="47" fillId="2" borderId="0" xfId="0" applyFont="1" applyFill="1" applyAlignment="1">
      <alignment vertical="center"/>
    </xf>
    <xf numFmtId="4" fontId="46" fillId="2" borderId="79" xfId="0" applyNumberFormat="1" applyFont="1" applyFill="1" applyBorder="1" applyProtection="1">
      <protection locked="0"/>
    </xf>
    <xf numFmtId="4" fontId="46" fillId="2" borderId="82" xfId="0" applyNumberFormat="1" applyFont="1" applyFill="1" applyBorder="1" applyProtection="1">
      <protection locked="0"/>
    </xf>
    <xf numFmtId="4" fontId="46" fillId="2" borderId="75" xfId="0" applyNumberFormat="1" applyFont="1" applyFill="1" applyBorder="1" applyProtection="1">
      <protection locked="0"/>
    </xf>
    <xf numFmtId="4" fontId="43" fillId="2" borderId="33" xfId="0" applyNumberFormat="1" applyFont="1" applyFill="1" applyBorder="1" applyProtection="1">
      <protection locked="0"/>
    </xf>
    <xf numFmtId="0" fontId="53" fillId="2" borderId="0" xfId="0" applyFont="1" applyFill="1" applyAlignment="1">
      <alignment horizontal="right"/>
    </xf>
    <xf numFmtId="0" fontId="31" fillId="4" borderId="0" xfId="0" applyFont="1" applyFill="1" applyAlignment="1">
      <alignment horizontal="left" vertical="center" wrapText="1"/>
    </xf>
    <xf numFmtId="0" fontId="53" fillId="2" borderId="0" xfId="0" applyFont="1" applyFill="1" applyAlignment="1">
      <alignment horizontal="right" wrapText="1"/>
    </xf>
    <xf numFmtId="0" fontId="41" fillId="2" borderId="0" xfId="0" applyFont="1" applyFill="1" applyAlignment="1">
      <alignment horizontal="center"/>
    </xf>
    <xf numFmtId="0" fontId="8" fillId="2" borderId="1" xfId="0" applyFont="1" applyFill="1" applyBorder="1" applyAlignment="1">
      <alignment horizontal="left"/>
    </xf>
    <xf numFmtId="0" fontId="41" fillId="2" borderId="1" xfId="0" applyFont="1" applyFill="1" applyBorder="1"/>
    <xf numFmtId="0" fontId="41" fillId="2" borderId="1" xfId="0" applyFont="1" applyFill="1" applyBorder="1" applyAlignment="1">
      <alignment horizontal="left"/>
    </xf>
    <xf numFmtId="0" fontId="54" fillId="2" borderId="0" xfId="0" applyFont="1" applyFill="1" applyAlignment="1">
      <alignment horizontal="center"/>
    </xf>
    <xf numFmtId="0" fontId="41" fillId="2" borderId="21" xfId="0" applyFont="1" applyFill="1" applyBorder="1" applyAlignment="1">
      <alignment wrapText="1"/>
    </xf>
    <xf numFmtId="0" fontId="41" fillId="2" borderId="1" xfId="0" applyFont="1" applyFill="1" applyBorder="1" applyAlignment="1">
      <alignment wrapText="1"/>
    </xf>
    <xf numFmtId="0" fontId="41" fillId="2" borderId="1" xfId="0" applyFont="1" applyFill="1" applyBorder="1" applyAlignment="1">
      <alignment horizontal="center" wrapText="1"/>
    </xf>
    <xf numFmtId="0" fontId="8" fillId="2" borderId="1" xfId="0" applyFont="1" applyFill="1" applyBorder="1" applyAlignment="1">
      <alignment horizontal="center" wrapText="1"/>
    </xf>
    <xf numFmtId="0" fontId="41" fillId="2" borderId="1" xfId="0" applyFont="1" applyFill="1" applyBorder="1" applyAlignment="1">
      <alignment horizontal="center" vertical="center" wrapText="1"/>
    </xf>
    <xf numFmtId="0" fontId="8" fillId="2" borderId="1" xfId="0" applyFont="1" applyFill="1" applyBorder="1" applyAlignment="1">
      <alignment horizontal="center"/>
    </xf>
    <xf numFmtId="0" fontId="41" fillId="2" borderId="22" xfId="0" applyFont="1" applyFill="1" applyBorder="1" applyAlignment="1">
      <alignment wrapText="1"/>
    </xf>
    <xf numFmtId="0" fontId="41" fillId="2" borderId="0" xfId="0" applyFont="1" applyFill="1" applyAlignment="1">
      <alignment wrapText="1"/>
    </xf>
    <xf numFmtId="0" fontId="39" fillId="6" borderId="1" xfId="0" applyFont="1" applyFill="1" applyBorder="1" applyAlignment="1">
      <alignment horizontal="left"/>
    </xf>
    <xf numFmtId="0" fontId="41" fillId="2" borderId="0" xfId="0" applyFont="1" applyFill="1" applyAlignment="1">
      <alignment horizontal="center" wrapText="1"/>
    </xf>
    <xf numFmtId="0" fontId="41" fillId="2" borderId="0" xfId="0" quotePrefix="1" applyFont="1" applyFill="1" applyAlignment="1">
      <alignment horizontal="left"/>
    </xf>
    <xf numFmtId="3" fontId="41" fillId="2" borderId="2" xfId="0" applyNumberFormat="1" applyFont="1" applyFill="1" applyBorder="1" applyAlignment="1" applyProtection="1">
      <alignment horizontal="center"/>
      <protection locked="0"/>
    </xf>
    <xf numFmtId="3" fontId="41" fillId="2" borderId="3" xfId="0" applyNumberFormat="1" applyFont="1" applyFill="1" applyBorder="1" applyAlignment="1" applyProtection="1">
      <alignment horizontal="center"/>
      <protection locked="0"/>
    </xf>
    <xf numFmtId="0" fontId="41" fillId="2" borderId="2" xfId="0" applyFont="1" applyFill="1" applyBorder="1" applyAlignment="1" applyProtection="1">
      <alignment horizontal="center"/>
      <protection locked="0"/>
    </xf>
    <xf numFmtId="0" fontId="41" fillId="2" borderId="3" xfId="0" applyFont="1" applyFill="1" applyBorder="1" applyAlignment="1" applyProtection="1">
      <alignment horizontal="center"/>
      <protection locked="0"/>
    </xf>
    <xf numFmtId="0" fontId="42" fillId="2" borderId="0" xfId="0" applyFont="1" applyFill="1" applyAlignment="1">
      <alignment horizontal="left" vertical="center"/>
    </xf>
    <xf numFmtId="0" fontId="41" fillId="2" borderId="0" xfId="0" applyFont="1" applyFill="1" applyAlignment="1">
      <alignment vertical="center"/>
    </xf>
    <xf numFmtId="0" fontId="41" fillId="2" borderId="0" xfId="0" quotePrefix="1" applyFont="1" applyFill="1" applyAlignment="1">
      <alignment vertical="center"/>
    </xf>
    <xf numFmtId="4" fontId="31" fillId="5" borderId="57" xfId="0" applyNumberFormat="1" applyFont="1" applyFill="1" applyBorder="1" applyAlignment="1">
      <alignment horizontal="center" vertical="center"/>
    </xf>
    <xf numFmtId="1" fontId="31" fillId="5" borderId="60" xfId="0" applyNumberFormat="1" applyFont="1" applyFill="1" applyBorder="1" applyAlignment="1">
      <alignment horizontal="center" vertical="center"/>
    </xf>
    <xf numFmtId="0" fontId="31" fillId="2" borderId="43" xfId="0" applyFont="1" applyFill="1" applyBorder="1" applyAlignment="1">
      <alignment vertical="center"/>
    </xf>
    <xf numFmtId="0" fontId="31" fillId="2" borderId="0" xfId="0" applyFont="1" applyFill="1" applyAlignment="1">
      <alignment horizontal="center" vertical="center"/>
    </xf>
    <xf numFmtId="3" fontId="31" fillId="2" borderId="0" xfId="0" applyNumberFormat="1" applyFont="1" applyFill="1" applyAlignment="1">
      <alignment horizontal="center" vertical="center"/>
    </xf>
    <xf numFmtId="0" fontId="55" fillId="2" borderId="0" xfId="0" applyFont="1" applyFill="1"/>
    <xf numFmtId="0" fontId="18" fillId="2" borderId="51" xfId="0" applyFont="1" applyFill="1" applyBorder="1" applyAlignment="1" applyProtection="1">
      <alignment horizontal="center" vertical="center"/>
      <protection locked="0"/>
    </xf>
    <xf numFmtId="0" fontId="31" fillId="2" borderId="109" xfId="0" applyFont="1" applyFill="1" applyBorder="1" applyAlignment="1">
      <alignment vertical="center"/>
    </xf>
    <xf numFmtId="0" fontId="31" fillId="2" borderId="110" xfId="0" applyFont="1" applyFill="1" applyBorder="1" applyAlignment="1">
      <alignment vertical="center"/>
    </xf>
    <xf numFmtId="0" fontId="31" fillId="2" borderId="111" xfId="0" applyFont="1" applyFill="1" applyBorder="1" applyAlignment="1">
      <alignment vertical="center"/>
    </xf>
    <xf numFmtId="0" fontId="31" fillId="2" borderId="49" xfId="0" applyFont="1" applyFill="1" applyBorder="1" applyAlignment="1">
      <alignment vertical="center"/>
    </xf>
    <xf numFmtId="0" fontId="31" fillId="2" borderId="112" xfId="0" applyFont="1" applyFill="1" applyBorder="1" applyAlignment="1">
      <alignment vertical="center"/>
    </xf>
    <xf numFmtId="0" fontId="31" fillId="2" borderId="113" xfId="0" applyFont="1" applyFill="1" applyBorder="1" applyAlignment="1">
      <alignment vertical="center"/>
    </xf>
    <xf numFmtId="0" fontId="31" fillId="2" borderId="55" xfId="0" applyFont="1" applyFill="1" applyBorder="1" applyAlignment="1">
      <alignment vertical="center"/>
    </xf>
    <xf numFmtId="0" fontId="31" fillId="2" borderId="56" xfId="0" applyFont="1" applyFill="1" applyBorder="1" applyAlignment="1">
      <alignment vertical="center"/>
    </xf>
    <xf numFmtId="4" fontId="31" fillId="2" borderId="57" xfId="0" applyNumberFormat="1" applyFont="1" applyFill="1" applyBorder="1" applyAlignment="1" applyProtection="1">
      <alignment vertical="center"/>
      <protection locked="0"/>
    </xf>
    <xf numFmtId="0" fontId="33" fillId="2" borderId="0" xfId="0" applyFont="1" applyFill="1" applyAlignment="1">
      <alignment horizontal="left"/>
    </xf>
    <xf numFmtId="0" fontId="44" fillId="2" borderId="0" xfId="0" applyFont="1" applyFill="1" applyAlignment="1">
      <alignment horizontal="left"/>
    </xf>
    <xf numFmtId="4" fontId="33" fillId="2" borderId="0" xfId="0" applyNumberFormat="1" applyFont="1" applyFill="1"/>
    <xf numFmtId="0" fontId="42" fillId="2" borderId="0" xfId="0" quotePrefix="1" applyFont="1" applyFill="1" applyAlignment="1">
      <alignment horizontal="left"/>
    </xf>
    <xf numFmtId="0" fontId="31" fillId="5" borderId="57" xfId="0" applyFont="1" applyFill="1" applyBorder="1" applyAlignment="1">
      <alignment horizontal="center"/>
    </xf>
    <xf numFmtId="0" fontId="31" fillId="5" borderId="33" xfId="0" applyFont="1" applyFill="1" applyBorder="1" applyAlignment="1">
      <alignment horizontal="center"/>
    </xf>
    <xf numFmtId="0" fontId="55" fillId="2" borderId="0" xfId="0" applyFont="1" applyFill="1" applyAlignment="1">
      <alignment vertical="center"/>
    </xf>
    <xf numFmtId="0" fontId="16" fillId="7" borderId="0" xfId="0" applyFont="1" applyFill="1" applyAlignment="1">
      <alignment vertical="center"/>
    </xf>
    <xf numFmtId="0" fontId="56" fillId="7" borderId="0" xfId="0" applyFont="1" applyFill="1" applyAlignment="1">
      <alignment vertical="center"/>
    </xf>
    <xf numFmtId="0" fontId="57" fillId="2" borderId="23" xfId="0" applyFont="1" applyFill="1" applyBorder="1"/>
    <xf numFmtId="0" fontId="47" fillId="2" borderId="114" xfId="0" applyFont="1" applyFill="1" applyBorder="1" applyAlignment="1" applyProtection="1">
      <alignment horizontal="left" vertical="center"/>
      <protection locked="0"/>
    </xf>
    <xf numFmtId="4" fontId="47" fillId="2" borderId="114" xfId="0" applyNumberFormat="1" applyFont="1" applyFill="1" applyBorder="1" applyAlignment="1" applyProtection="1">
      <alignment horizontal="left" vertical="center"/>
      <protection locked="0"/>
    </xf>
    <xf numFmtId="4" fontId="33" fillId="2" borderId="114" xfId="0" applyNumberFormat="1" applyFont="1" applyFill="1" applyBorder="1" applyAlignment="1" applyProtection="1">
      <alignment horizontal="left" vertical="center"/>
      <protection locked="0"/>
    </xf>
    <xf numFmtId="0" fontId="47" fillId="2" borderId="115" xfId="0" applyFont="1" applyFill="1" applyBorder="1" applyAlignment="1" applyProtection="1">
      <alignment horizontal="left" vertical="center"/>
      <protection locked="0"/>
    </xf>
    <xf numFmtId="4" fontId="47" fillId="2" borderId="115" xfId="0" applyNumberFormat="1" applyFont="1" applyFill="1" applyBorder="1" applyAlignment="1" applyProtection="1">
      <alignment horizontal="left" vertical="center"/>
      <protection locked="0"/>
    </xf>
    <xf numFmtId="4" fontId="33" fillId="2" borderId="115" xfId="0" applyNumberFormat="1" applyFont="1" applyFill="1" applyBorder="1" applyAlignment="1" applyProtection="1">
      <alignment horizontal="left" vertical="center"/>
      <protection locked="0"/>
    </xf>
    <xf numFmtId="0" fontId="33" fillId="2" borderId="0" xfId="0" applyFont="1" applyFill="1" applyAlignment="1">
      <alignment horizontal="center" vertical="center"/>
    </xf>
    <xf numFmtId="0" fontId="36" fillId="2" borderId="21" xfId="0" applyFont="1" applyFill="1" applyBorder="1" applyAlignment="1">
      <alignment horizontal="center" vertical="center"/>
    </xf>
    <xf numFmtId="0" fontId="10" fillId="5" borderId="57" xfId="1" applyFont="1" applyFill="1" applyBorder="1" applyAlignment="1">
      <alignment horizontal="center" vertical="center" wrapText="1"/>
    </xf>
    <xf numFmtId="0" fontId="10" fillId="5" borderId="54" xfId="1" applyFont="1" applyFill="1" applyBorder="1" applyAlignment="1">
      <alignment horizontal="center" vertical="center" wrapText="1"/>
    </xf>
    <xf numFmtId="0" fontId="36" fillId="2" borderId="22" xfId="0" applyFont="1" applyFill="1" applyBorder="1" applyAlignment="1">
      <alignment horizontal="center" vertical="center"/>
    </xf>
    <xf numFmtId="0" fontId="10" fillId="5" borderId="60" xfId="1" applyFont="1" applyFill="1" applyBorder="1" applyAlignment="1">
      <alignment horizontal="center" vertical="center" wrapText="1"/>
    </xf>
    <xf numFmtId="0" fontId="42" fillId="2" borderId="0" xfId="0" applyFont="1" applyFill="1" applyProtection="1">
      <protection locked="0"/>
    </xf>
    <xf numFmtId="0" fontId="39" fillId="0" borderId="0" xfId="0" applyFont="1"/>
    <xf numFmtId="0" fontId="32" fillId="2" borderId="0" xfId="0" applyFont="1" applyFill="1" applyAlignment="1">
      <alignment vertical="center"/>
    </xf>
    <xf numFmtId="0" fontId="32" fillId="2" borderId="21" xfId="0" applyFont="1" applyFill="1" applyBorder="1" applyAlignment="1">
      <alignment vertical="center"/>
    </xf>
    <xf numFmtId="0" fontId="32" fillId="2" borderId="47" xfId="0" applyFont="1" applyFill="1" applyBorder="1" applyAlignment="1">
      <alignment vertical="center"/>
    </xf>
    <xf numFmtId="0" fontId="32" fillId="5" borderId="47" xfId="0" applyFont="1" applyFill="1" applyBorder="1" applyAlignment="1">
      <alignment vertical="center"/>
    </xf>
    <xf numFmtId="0" fontId="32" fillId="2" borderId="22" xfId="0" applyFont="1" applyFill="1" applyBorder="1" applyAlignment="1">
      <alignment vertical="center"/>
    </xf>
    <xf numFmtId="0" fontId="10" fillId="5" borderId="64" xfId="1" applyFont="1" applyFill="1" applyBorder="1" applyAlignment="1">
      <alignment horizontal="center" vertical="center" wrapText="1"/>
    </xf>
    <xf numFmtId="0" fontId="10" fillId="5" borderId="116" xfId="1" applyFont="1" applyFill="1" applyBorder="1" applyAlignment="1">
      <alignment horizontal="center" vertical="center" wrapText="1"/>
    </xf>
    <xf numFmtId="0" fontId="10" fillId="5" borderId="59" xfId="1" applyFont="1" applyFill="1" applyBorder="1" applyAlignment="1">
      <alignment horizontal="center" vertical="center" wrapText="1"/>
    </xf>
    <xf numFmtId="0" fontId="10" fillId="5" borderId="117" xfId="1" applyFont="1" applyFill="1" applyBorder="1" applyAlignment="1">
      <alignment horizontal="center" vertical="center" wrapText="1"/>
    </xf>
    <xf numFmtId="4" fontId="31" fillId="2" borderId="117" xfId="0" applyNumberFormat="1" applyFont="1" applyFill="1" applyBorder="1" applyAlignment="1" applyProtection="1">
      <alignment vertical="center"/>
      <protection locked="0"/>
    </xf>
    <xf numFmtId="4" fontId="58" fillId="5" borderId="118" xfId="0" applyNumberFormat="1" applyFont="1" applyFill="1" applyBorder="1" applyAlignment="1">
      <alignment vertical="center"/>
    </xf>
    <xf numFmtId="4" fontId="58" fillId="5" borderId="119" xfId="0" applyNumberFormat="1" applyFont="1" applyFill="1" applyBorder="1" applyAlignment="1">
      <alignment vertical="center"/>
    </xf>
    <xf numFmtId="4" fontId="58" fillId="5" borderId="44" xfId="0" applyNumberFormat="1" applyFont="1" applyFill="1" applyBorder="1" applyAlignment="1">
      <alignment vertical="center"/>
    </xf>
    <xf numFmtId="0" fontId="10" fillId="5" borderId="120" xfId="1" applyFont="1" applyFill="1" applyBorder="1" applyAlignment="1">
      <alignment horizontal="center" vertical="center" wrapText="1"/>
    </xf>
    <xf numFmtId="0" fontId="10" fillId="5" borderId="75" xfId="1" applyFont="1" applyFill="1" applyBorder="1" applyAlignment="1">
      <alignment horizontal="center" vertical="center" wrapText="1"/>
    </xf>
    <xf numFmtId="4" fontId="38" fillId="2" borderId="52" xfId="0" applyNumberFormat="1" applyFont="1" applyFill="1" applyBorder="1" applyAlignment="1" applyProtection="1">
      <alignment horizontal="right" vertical="center"/>
      <protection locked="0"/>
    </xf>
    <xf numFmtId="4" fontId="37" fillId="2" borderId="52" xfId="0" applyNumberFormat="1" applyFont="1" applyFill="1" applyBorder="1" applyAlignment="1" applyProtection="1">
      <alignment horizontal="right" vertical="center"/>
      <protection locked="0"/>
    </xf>
    <xf numFmtId="4" fontId="31" fillId="2" borderId="52" xfId="0" applyNumberFormat="1" applyFont="1" applyFill="1" applyBorder="1" applyAlignment="1" applyProtection="1">
      <alignment horizontal="right" vertical="center"/>
      <protection locked="0"/>
    </xf>
    <xf numFmtId="4" fontId="31" fillId="0" borderId="45" xfId="0" applyNumberFormat="1" applyFont="1" applyBorder="1" applyAlignment="1" applyProtection="1">
      <alignment vertical="center"/>
      <protection locked="0"/>
    </xf>
    <xf numFmtId="0" fontId="32" fillId="2" borderId="114" xfId="0" applyFont="1" applyFill="1" applyBorder="1" applyAlignment="1" applyProtection="1">
      <alignment horizontal="left" vertical="center"/>
      <protection locked="0"/>
    </xf>
    <xf numFmtId="0" fontId="32" fillId="2" borderId="54" xfId="0" applyFont="1" applyFill="1" applyBorder="1" applyAlignment="1">
      <alignment vertical="center"/>
    </xf>
    <xf numFmtId="0" fontId="32" fillId="2" borderId="0" xfId="0" applyFont="1" applyFill="1"/>
    <xf numFmtId="0" fontId="56" fillId="2" borderId="0" xfId="0" applyFont="1" applyFill="1" applyAlignment="1">
      <alignment vertical="center"/>
    </xf>
    <xf numFmtId="0" fontId="38" fillId="2" borderId="0" xfId="0" applyFont="1" applyFill="1" applyAlignment="1">
      <alignment horizontal="center"/>
    </xf>
    <xf numFmtId="4" fontId="31" fillId="2" borderId="42" xfId="0" applyNumberFormat="1" applyFont="1" applyFill="1" applyBorder="1" applyAlignment="1">
      <alignment vertical="center"/>
    </xf>
    <xf numFmtId="4" fontId="31" fillId="0" borderId="119" xfId="0" applyNumberFormat="1" applyFont="1" applyBorder="1" applyAlignment="1">
      <alignment vertical="center"/>
    </xf>
    <xf numFmtId="4" fontId="31" fillId="2" borderId="121" xfId="0" applyNumberFormat="1" applyFont="1" applyFill="1" applyBorder="1" applyAlignment="1">
      <alignment vertical="center"/>
    </xf>
    <xf numFmtId="0" fontId="41" fillId="0" borderId="22" xfId="0" applyFont="1" applyBorder="1" applyAlignment="1">
      <alignment horizontal="left"/>
    </xf>
    <xf numFmtId="0" fontId="37" fillId="5" borderId="57" xfId="0" applyFont="1" applyFill="1" applyBorder="1" applyAlignment="1">
      <alignment horizontal="center" vertical="center"/>
    </xf>
    <xf numFmtId="0" fontId="31" fillId="5" borderId="57" xfId="0" applyFont="1" applyFill="1" applyBorder="1" applyAlignment="1">
      <alignment horizontal="center" vertical="center" wrapText="1"/>
    </xf>
    <xf numFmtId="0" fontId="31" fillId="5" borderId="122" xfId="0" applyFont="1" applyFill="1" applyBorder="1" applyAlignment="1">
      <alignment horizontal="center" vertical="center"/>
    </xf>
    <xf numFmtId="0" fontId="31" fillId="5" borderId="49" xfId="0" applyFont="1" applyFill="1" applyBorder="1" applyAlignment="1">
      <alignment horizontal="center" vertical="center"/>
    </xf>
    <xf numFmtId="4" fontId="31" fillId="5" borderId="51" xfId="0" applyNumberFormat="1" applyFont="1" applyFill="1" applyBorder="1" applyAlignment="1">
      <alignment horizontal="right" vertical="center"/>
    </xf>
    <xf numFmtId="4" fontId="31" fillId="5" borderId="68" xfId="0" applyNumberFormat="1" applyFont="1" applyFill="1" applyBorder="1" applyAlignment="1">
      <alignment vertical="center"/>
    </xf>
    <xf numFmtId="0" fontId="41" fillId="2" borderId="21" xfId="0" applyFont="1" applyFill="1" applyBorder="1" applyAlignment="1">
      <alignment horizontal="left" vertical="center"/>
    </xf>
    <xf numFmtId="4" fontId="42" fillId="2" borderId="0" xfId="0" applyNumberFormat="1" applyFont="1" applyFill="1" applyAlignment="1">
      <alignment vertical="center"/>
    </xf>
    <xf numFmtId="0" fontId="41" fillId="2" borderId="0" xfId="0" quotePrefix="1" applyFont="1" applyFill="1" applyAlignment="1">
      <alignment horizontal="left" vertical="center"/>
    </xf>
    <xf numFmtId="4" fontId="41" fillId="2" borderId="0" xfId="0" applyNumberFormat="1" applyFont="1" applyFill="1" applyAlignment="1">
      <alignment horizontal="left" vertical="center"/>
    </xf>
    <xf numFmtId="4" fontId="32" fillId="2" borderId="51" xfId="0" applyNumberFormat="1" applyFont="1" applyFill="1" applyBorder="1" applyAlignment="1" applyProtection="1">
      <alignment horizontal="right" vertical="center"/>
      <protection locked="0"/>
    </xf>
    <xf numFmtId="4" fontId="41" fillId="2" borderId="0" xfId="0" applyNumberFormat="1" applyFont="1" applyFill="1" applyAlignment="1">
      <alignment horizontal="right"/>
    </xf>
    <xf numFmtId="4" fontId="32" fillId="2" borderId="0" xfId="0" applyNumberFormat="1" applyFont="1" applyFill="1" applyAlignment="1">
      <alignment horizontal="left" vertical="center"/>
    </xf>
    <xf numFmtId="4" fontId="32" fillId="2" borderId="0" xfId="0" applyNumberFormat="1" applyFont="1" applyFill="1" applyAlignment="1">
      <alignment horizontal="right" vertical="center"/>
    </xf>
    <xf numFmtId="4" fontId="41" fillId="2" borderId="23" xfId="0" applyNumberFormat="1" applyFont="1" applyFill="1" applyBorder="1" applyAlignment="1">
      <alignment horizontal="left"/>
    </xf>
    <xf numFmtId="4" fontId="41" fillId="2" borderId="24" xfId="0" applyNumberFormat="1" applyFont="1" applyFill="1" applyBorder="1" applyAlignment="1">
      <alignment horizontal="right"/>
    </xf>
    <xf numFmtId="4" fontId="41" fillId="2" borderId="25" xfId="0" applyNumberFormat="1" applyFont="1" applyFill="1" applyBorder="1" applyAlignment="1">
      <alignment horizontal="left"/>
    </xf>
    <xf numFmtId="4" fontId="41" fillId="2" borderId="21" xfId="0" applyNumberFormat="1" applyFont="1" applyFill="1" applyBorder="1" applyAlignment="1">
      <alignment horizontal="left"/>
    </xf>
    <xf numFmtId="4" fontId="31" fillId="2" borderId="0" xfId="0" applyNumberFormat="1" applyFont="1" applyFill="1" applyAlignment="1">
      <alignment horizontal="left"/>
    </xf>
    <xf numFmtId="4" fontId="41" fillId="2" borderId="22" xfId="0" applyNumberFormat="1" applyFont="1" applyFill="1" applyBorder="1" applyAlignment="1">
      <alignment horizontal="left"/>
    </xf>
    <xf numFmtId="4" fontId="42" fillId="2" borderId="0" xfId="0" applyNumberFormat="1" applyFont="1" applyFill="1" applyAlignment="1">
      <alignment horizontal="left"/>
    </xf>
    <xf numFmtId="4" fontId="32" fillId="2" borderId="21" xfId="0" applyNumberFormat="1" applyFont="1" applyFill="1" applyBorder="1" applyAlignment="1">
      <alignment horizontal="left"/>
    </xf>
    <xf numFmtId="4" fontId="31" fillId="4" borderId="0" xfId="0" applyNumberFormat="1" applyFont="1" applyFill="1" applyAlignment="1">
      <alignment horizontal="left" vertical="center"/>
    </xf>
    <xf numFmtId="4" fontId="32" fillId="2" borderId="22" xfId="0" applyNumberFormat="1" applyFont="1" applyFill="1" applyBorder="1" applyAlignment="1">
      <alignment horizontal="left"/>
    </xf>
    <xf numFmtId="4" fontId="32" fillId="2" borderId="0" xfId="0" applyNumberFormat="1" applyFont="1" applyFill="1" applyAlignment="1">
      <alignment horizontal="left"/>
    </xf>
    <xf numFmtId="4" fontId="36" fillId="2" borderId="21" xfId="0" applyNumberFormat="1" applyFont="1" applyFill="1" applyBorder="1" applyAlignment="1">
      <alignment horizontal="left"/>
    </xf>
    <xf numFmtId="4" fontId="33" fillId="3" borderId="0" xfId="0" applyNumberFormat="1" applyFont="1" applyFill="1" applyAlignment="1">
      <alignment horizontal="right" vertical="center"/>
    </xf>
    <xf numFmtId="4" fontId="36" fillId="2" borderId="22" xfId="0" applyNumberFormat="1" applyFont="1" applyFill="1" applyBorder="1" applyAlignment="1">
      <alignment horizontal="left"/>
    </xf>
    <xf numFmtId="4" fontId="38" fillId="2" borderId="21" xfId="0" applyNumberFormat="1" applyFont="1" applyFill="1" applyBorder="1" applyAlignment="1">
      <alignment horizontal="left"/>
    </xf>
    <xf numFmtId="4" fontId="32" fillId="2" borderId="0" xfId="0" applyNumberFormat="1" applyFont="1" applyFill="1" applyAlignment="1">
      <alignment horizontal="center" vertical="center"/>
    </xf>
    <xf numFmtId="4" fontId="59" fillId="2" borderId="21" xfId="0" applyNumberFormat="1" applyFont="1" applyFill="1" applyBorder="1" applyAlignment="1">
      <alignment horizontal="left" vertical="center"/>
    </xf>
    <xf numFmtId="4" fontId="33" fillId="5" borderId="64" xfId="0" applyNumberFormat="1" applyFont="1" applyFill="1" applyBorder="1" applyAlignment="1">
      <alignment horizontal="right" vertical="center"/>
    </xf>
    <xf numFmtId="4" fontId="59" fillId="2" borderId="22" xfId="0" applyNumberFormat="1" applyFont="1" applyFill="1" applyBorder="1" applyAlignment="1">
      <alignment horizontal="left" vertical="center"/>
    </xf>
    <xf numFmtId="4" fontId="59" fillId="2" borderId="0" xfId="0" applyNumberFormat="1" applyFont="1" applyFill="1" applyAlignment="1">
      <alignment horizontal="left" vertical="center"/>
    </xf>
    <xf numFmtId="4" fontId="33" fillId="2" borderId="21" xfId="0" applyNumberFormat="1" applyFont="1" applyFill="1" applyBorder="1" applyAlignment="1">
      <alignment horizontal="left"/>
    </xf>
    <xf numFmtId="4" fontId="33" fillId="2" borderId="53" xfId="0" applyNumberFormat="1" applyFont="1" applyFill="1" applyBorder="1" applyAlignment="1">
      <alignment horizontal="center" vertical="center"/>
    </xf>
    <xf numFmtId="4" fontId="33" fillId="2" borderId="64" xfId="0" applyNumberFormat="1" applyFont="1" applyFill="1" applyBorder="1" applyAlignment="1">
      <alignment horizontal="right" vertical="center"/>
    </xf>
    <xf numFmtId="4" fontId="33" fillId="2" borderId="54" xfId="0" applyNumberFormat="1" applyFont="1" applyFill="1" applyBorder="1" applyAlignment="1">
      <alignment vertical="center"/>
    </xf>
    <xf numFmtId="4" fontId="33" fillId="2" borderId="22" xfId="0" applyNumberFormat="1" applyFont="1" applyFill="1" applyBorder="1" applyAlignment="1">
      <alignment horizontal="left"/>
    </xf>
    <xf numFmtId="4" fontId="33" fillId="2" borderId="0" xfId="0" applyNumberFormat="1" applyFont="1" applyFill="1" applyAlignment="1">
      <alignment horizontal="left"/>
    </xf>
    <xf numFmtId="4" fontId="60" fillId="2" borderId="123" xfId="0" applyNumberFormat="1" applyFont="1" applyFill="1" applyBorder="1" applyAlignment="1">
      <alignment horizontal="center" vertical="center"/>
    </xf>
    <xf numFmtId="4" fontId="61" fillId="2" borderId="52" xfId="0" applyNumberFormat="1" applyFont="1" applyFill="1" applyBorder="1" applyAlignment="1">
      <alignment horizontal="left" vertical="center"/>
    </xf>
    <xf numFmtId="4" fontId="61" fillId="2" borderId="52" xfId="0" applyNumberFormat="1" applyFont="1" applyFill="1" applyBorder="1" applyAlignment="1">
      <alignment horizontal="right" vertical="center"/>
    </xf>
    <xf numFmtId="4" fontId="61" fillId="5" borderId="52" xfId="0" applyNumberFormat="1" applyFont="1" applyFill="1" applyBorder="1" applyAlignment="1">
      <alignment horizontal="right" vertical="center"/>
    </xf>
    <xf numFmtId="4" fontId="38" fillId="2" borderId="51" xfId="0" applyNumberFormat="1" applyFont="1" applyFill="1" applyBorder="1" applyAlignment="1">
      <alignment vertical="center"/>
    </xf>
    <xf numFmtId="4" fontId="38" fillId="2" borderId="22" xfId="0" applyNumberFormat="1" applyFont="1" applyFill="1" applyBorder="1" applyAlignment="1">
      <alignment horizontal="left"/>
    </xf>
    <xf numFmtId="4" fontId="51" fillId="2" borderId="0" xfId="0" applyNumberFormat="1" applyFont="1" applyFill="1" applyAlignment="1">
      <alignment horizontal="left"/>
    </xf>
    <xf numFmtId="4" fontId="60" fillId="2" borderId="109" xfId="0" applyNumberFormat="1" applyFont="1" applyFill="1" applyBorder="1" applyAlignment="1">
      <alignment horizontal="center" vertical="center"/>
    </xf>
    <xf numFmtId="4" fontId="61" fillId="2" borderId="110" xfId="0" applyNumberFormat="1" applyFont="1" applyFill="1" applyBorder="1" applyAlignment="1">
      <alignment horizontal="left" vertical="center"/>
    </xf>
    <xf numFmtId="4" fontId="61" fillId="2" borderId="110" xfId="0" applyNumberFormat="1" applyFont="1" applyFill="1" applyBorder="1" applyAlignment="1">
      <alignment horizontal="right" vertical="center"/>
    </xf>
    <xf numFmtId="4" fontId="31" fillId="2" borderId="21" xfId="0" applyNumberFormat="1" applyFont="1" applyFill="1" applyBorder="1" applyAlignment="1">
      <alignment horizontal="left"/>
    </xf>
    <xf numFmtId="4" fontId="31" fillId="2" borderId="22" xfId="0" applyNumberFormat="1" applyFont="1" applyFill="1" applyBorder="1" applyAlignment="1">
      <alignment horizontal="left"/>
    </xf>
    <xf numFmtId="4" fontId="36" fillId="2" borderId="21" xfId="0" applyNumberFormat="1" applyFont="1" applyFill="1" applyBorder="1" applyAlignment="1">
      <alignment vertical="center"/>
    </xf>
    <xf numFmtId="4" fontId="33" fillId="5" borderId="64" xfId="0" applyNumberFormat="1" applyFont="1" applyFill="1" applyBorder="1" applyAlignment="1">
      <alignment vertical="center"/>
    </xf>
    <xf numFmtId="4" fontId="36" fillId="2" borderId="22" xfId="0" applyNumberFormat="1" applyFont="1" applyFill="1" applyBorder="1" applyAlignment="1">
      <alignment vertical="center"/>
    </xf>
    <xf numFmtId="4" fontId="36" fillId="2" borderId="0" xfId="0" applyNumberFormat="1" applyFont="1" applyFill="1" applyAlignment="1">
      <alignment vertical="center"/>
    </xf>
    <xf numFmtId="4" fontId="62" fillId="2" borderId="52" xfId="0" applyNumberFormat="1" applyFont="1" applyFill="1" applyBorder="1" applyAlignment="1">
      <alignment horizontal="left" vertical="center"/>
    </xf>
    <xf numFmtId="4" fontId="38" fillId="2" borderId="52" xfId="0" applyNumberFormat="1" applyFont="1" applyFill="1" applyBorder="1" applyAlignment="1">
      <alignment horizontal="right" vertical="center"/>
    </xf>
    <xf numFmtId="4" fontId="63" fillId="2" borderId="0" xfId="0" applyNumberFormat="1" applyFont="1" applyFill="1" applyAlignment="1">
      <alignment horizontal="left"/>
    </xf>
    <xf numFmtId="4" fontId="37" fillId="2" borderId="21" xfId="0" applyNumberFormat="1" applyFont="1" applyFill="1" applyBorder="1" applyAlignment="1">
      <alignment horizontal="left"/>
    </xf>
    <xf numFmtId="4" fontId="37" fillId="5" borderId="52" xfId="0" applyNumberFormat="1" applyFont="1" applyFill="1" applyBorder="1" applyAlignment="1">
      <alignment horizontal="right" vertical="center"/>
    </xf>
    <xf numFmtId="4" fontId="37" fillId="2" borderId="22" xfId="0" applyNumberFormat="1" applyFont="1" applyFill="1" applyBorder="1" applyAlignment="1">
      <alignment horizontal="left"/>
    </xf>
    <xf numFmtId="4" fontId="37" fillId="2" borderId="0" xfId="0" applyNumberFormat="1" applyFont="1" applyFill="1" applyAlignment="1">
      <alignment horizontal="left"/>
    </xf>
    <xf numFmtId="4" fontId="36" fillId="2" borderId="21" xfId="0" applyNumberFormat="1" applyFont="1" applyFill="1" applyBorder="1" applyAlignment="1">
      <alignment horizontal="left" vertical="center"/>
    </xf>
    <xf numFmtId="4" fontId="36" fillId="2" borderId="22" xfId="0" applyNumberFormat="1" applyFont="1" applyFill="1" applyBorder="1" applyAlignment="1">
      <alignment horizontal="left" vertical="center"/>
    </xf>
    <xf numFmtId="4" fontId="31" fillId="2" borderId="53" xfId="0" applyNumberFormat="1" applyFont="1" applyFill="1" applyBorder="1" applyAlignment="1">
      <alignment horizontal="center" vertical="center"/>
    </xf>
    <xf numFmtId="4" fontId="31" fillId="2" borderId="64" xfId="0" applyNumberFormat="1" applyFont="1" applyFill="1" applyBorder="1" applyAlignment="1">
      <alignment horizontal="right" vertical="center"/>
    </xf>
    <xf numFmtId="4" fontId="38" fillId="5" borderId="52" xfId="0" applyNumberFormat="1" applyFont="1" applyFill="1" applyBorder="1" applyAlignment="1">
      <alignment horizontal="right" vertical="center"/>
    </xf>
    <xf numFmtId="4" fontId="62" fillId="2" borderId="52" xfId="0" applyNumberFormat="1" applyFont="1" applyFill="1" applyBorder="1" applyAlignment="1">
      <alignment horizontal="right" vertical="center"/>
    </xf>
    <xf numFmtId="4" fontId="60" fillId="2" borderId="0" xfId="0" applyNumberFormat="1" applyFont="1" applyFill="1" applyAlignment="1">
      <alignment horizontal="left"/>
    </xf>
    <xf numFmtId="4" fontId="31" fillId="2" borderId="111" xfId="0" applyNumberFormat="1" applyFont="1" applyFill="1" applyBorder="1" applyAlignment="1">
      <alignment horizontal="center" vertical="center"/>
    </xf>
    <xf numFmtId="4" fontId="31" fillId="2" borderId="49" xfId="0" applyNumberFormat="1" applyFont="1" applyFill="1" applyBorder="1" applyAlignment="1">
      <alignment horizontal="left" vertical="center"/>
    </xf>
    <xf numFmtId="4" fontId="31" fillId="2" borderId="49" xfId="0" applyNumberFormat="1" applyFont="1" applyFill="1" applyBorder="1" applyAlignment="1">
      <alignment horizontal="right" vertical="center"/>
    </xf>
    <xf numFmtId="4" fontId="64" fillId="2" borderId="52" xfId="0" applyNumberFormat="1" applyFont="1" applyFill="1" applyBorder="1" applyAlignment="1">
      <alignment horizontal="right" vertical="center"/>
    </xf>
    <xf numFmtId="4" fontId="36" fillId="2" borderId="0" xfId="0" applyNumberFormat="1" applyFont="1" applyFill="1" applyAlignment="1">
      <alignment horizontal="left"/>
    </xf>
    <xf numFmtId="4" fontId="32" fillId="2" borderId="0" xfId="0" applyNumberFormat="1" applyFont="1" applyFill="1" applyAlignment="1">
      <alignment vertical="center"/>
    </xf>
    <xf numFmtId="4" fontId="45" fillId="2" borderId="21" xfId="0" applyNumberFormat="1" applyFont="1" applyFill="1" applyBorder="1" applyAlignment="1">
      <alignment horizontal="left"/>
    </xf>
    <xf numFmtId="4" fontId="65" fillId="8" borderId="76" xfId="0" applyNumberFormat="1" applyFont="1" applyFill="1" applyBorder="1" applyAlignment="1">
      <alignment horizontal="right"/>
    </xf>
    <xf numFmtId="4" fontId="45" fillId="2" borderId="22" xfId="0" applyNumberFormat="1" applyFont="1" applyFill="1" applyBorder="1" applyAlignment="1">
      <alignment horizontal="left"/>
    </xf>
    <xf numFmtId="4" fontId="45" fillId="2" borderId="0" xfId="0" applyNumberFormat="1" applyFont="1" applyFill="1" applyAlignment="1">
      <alignment horizontal="left"/>
    </xf>
    <xf numFmtId="4" fontId="33" fillId="9" borderId="64" xfId="0" applyNumberFormat="1" applyFont="1" applyFill="1" applyBorder="1" applyAlignment="1">
      <alignment horizontal="right" vertical="center"/>
    </xf>
    <xf numFmtId="4" fontId="60" fillId="2" borderId="0" xfId="0" applyNumberFormat="1" applyFont="1" applyFill="1" applyAlignment="1">
      <alignment horizontal="center" vertical="center"/>
    </xf>
    <xf numFmtId="4" fontId="32" fillId="2" borderId="21" xfId="0" applyNumberFormat="1" applyFont="1" applyFill="1" applyBorder="1" applyAlignment="1">
      <alignment horizontal="left" vertical="center"/>
    </xf>
    <xf numFmtId="4" fontId="50" fillId="10" borderId="76" xfId="0" applyNumberFormat="1" applyFont="1" applyFill="1" applyBorder="1" applyAlignment="1">
      <alignment horizontal="right" vertical="center"/>
    </xf>
    <xf numFmtId="4" fontId="32" fillId="2" borderId="22" xfId="0" applyNumberFormat="1" applyFont="1" applyFill="1" applyBorder="1" applyAlignment="1">
      <alignment horizontal="left" vertical="center"/>
    </xf>
    <xf numFmtId="4" fontId="66" fillId="2" borderId="0" xfId="0" applyNumberFormat="1" applyFont="1" applyFill="1" applyAlignment="1">
      <alignment horizontal="right" vertical="center"/>
    </xf>
    <xf numFmtId="4" fontId="50" fillId="6" borderId="0" xfId="0" applyNumberFormat="1" applyFont="1" applyFill="1" applyAlignment="1">
      <alignment horizontal="left"/>
    </xf>
    <xf numFmtId="4" fontId="50" fillId="6" borderId="0" xfId="0" applyNumberFormat="1" applyFont="1" applyFill="1" applyAlignment="1">
      <alignment horizontal="right"/>
    </xf>
    <xf numFmtId="4" fontId="35" fillId="5" borderId="64" xfId="0" applyNumberFormat="1" applyFont="1" applyFill="1" applyBorder="1" applyAlignment="1">
      <alignment horizontal="right" vertical="center"/>
    </xf>
    <xf numFmtId="4" fontId="35" fillId="5" borderId="54" xfId="0" applyNumberFormat="1" applyFont="1" applyFill="1" applyBorder="1" applyAlignment="1">
      <alignment horizontal="center" vertical="center"/>
    </xf>
    <xf numFmtId="4" fontId="33" fillId="2" borderId="111" xfId="0" applyNumberFormat="1" applyFont="1" applyFill="1" applyBorder="1" applyAlignment="1">
      <alignment horizontal="center" vertical="center"/>
    </xf>
    <xf numFmtId="4" fontId="33" fillId="2" borderId="49" xfId="0" applyNumberFormat="1" applyFont="1" applyFill="1" applyBorder="1" applyAlignment="1">
      <alignment horizontal="left" vertical="center"/>
    </xf>
    <xf numFmtId="4" fontId="33" fillId="2" borderId="49" xfId="0" applyNumberFormat="1" applyFont="1" applyFill="1" applyBorder="1" applyAlignment="1">
      <alignment horizontal="right" vertical="center"/>
    </xf>
    <xf numFmtId="4" fontId="66" fillId="2" borderId="0" xfId="0" applyNumberFormat="1" applyFont="1" applyFill="1" applyAlignment="1">
      <alignment horizontal="left"/>
    </xf>
    <xf numFmtId="4" fontId="67" fillId="2" borderId="21" xfId="0" applyNumberFormat="1" applyFont="1" applyFill="1" applyBorder="1" applyAlignment="1">
      <alignment horizontal="left"/>
    </xf>
    <xf numFmtId="4" fontId="68" fillId="2" borderId="123" xfId="0" applyNumberFormat="1" applyFont="1" applyFill="1" applyBorder="1" applyAlignment="1">
      <alignment horizontal="center" vertical="center"/>
    </xf>
    <xf numFmtId="4" fontId="68" fillId="2" borderId="52" xfId="0" applyNumberFormat="1" applyFont="1" applyFill="1" applyBorder="1" applyAlignment="1">
      <alignment horizontal="left" vertical="center"/>
    </xf>
    <xf numFmtId="4" fontId="68" fillId="5" borderId="52" xfId="0" applyNumberFormat="1" applyFont="1" applyFill="1" applyBorder="1" applyAlignment="1">
      <alignment horizontal="right" vertical="center"/>
    </xf>
    <xf numFmtId="4" fontId="67" fillId="2" borderId="22" xfId="0" applyNumberFormat="1" applyFont="1" applyFill="1" applyBorder="1" applyAlignment="1">
      <alignment horizontal="left"/>
    </xf>
    <xf numFmtId="4" fontId="67" fillId="2" borderId="0" xfId="0" applyNumberFormat="1" applyFont="1" applyFill="1" applyAlignment="1">
      <alignment horizontal="left"/>
    </xf>
    <xf numFmtId="4" fontId="61" fillId="5" borderId="75" xfId="0" applyNumberFormat="1" applyFont="1" applyFill="1" applyBorder="1" applyAlignment="1">
      <alignment horizontal="right" vertical="center"/>
    </xf>
    <xf numFmtId="4" fontId="51" fillId="6" borderId="0" xfId="0" applyNumberFormat="1" applyFont="1" applyFill="1" applyAlignment="1">
      <alignment horizontal="left"/>
    </xf>
    <xf numFmtId="4" fontId="50" fillId="8" borderId="76" xfId="0" applyNumberFormat="1" applyFont="1" applyFill="1" applyBorder="1" applyAlignment="1">
      <alignment horizontal="right" vertical="center"/>
    </xf>
    <xf numFmtId="4" fontId="33" fillId="5" borderId="124" xfId="0" applyNumberFormat="1" applyFont="1" applyFill="1" applyBorder="1" applyAlignment="1">
      <alignment vertical="center"/>
    </xf>
    <xf numFmtId="4" fontId="36" fillId="5" borderId="125" xfId="0" applyNumberFormat="1" applyFont="1" applyFill="1" applyBorder="1" applyAlignment="1">
      <alignment horizontal="center" vertical="center"/>
    </xf>
    <xf numFmtId="4" fontId="33" fillId="5" borderId="125" xfId="0" applyNumberFormat="1" applyFont="1" applyFill="1" applyBorder="1" applyAlignment="1">
      <alignment horizontal="right" vertical="center"/>
    </xf>
    <xf numFmtId="4" fontId="32" fillId="2" borderId="21" xfId="0" applyNumberFormat="1" applyFont="1" applyFill="1" applyBorder="1" applyAlignment="1">
      <alignment vertical="center"/>
    </xf>
    <xf numFmtId="4" fontId="31" fillId="11" borderId="64" xfId="0" applyNumberFormat="1" applyFont="1" applyFill="1" applyBorder="1" applyAlignment="1">
      <alignment vertical="center"/>
    </xf>
    <xf numFmtId="4" fontId="31" fillId="11" borderId="64" xfId="0" applyNumberFormat="1" applyFont="1" applyFill="1" applyBorder="1" applyAlignment="1">
      <alignment horizontal="right" vertical="center"/>
    </xf>
    <xf numFmtId="4" fontId="32" fillId="2" borderId="22" xfId="0" applyNumberFormat="1" applyFont="1" applyFill="1" applyBorder="1" applyAlignment="1">
      <alignment vertical="center"/>
    </xf>
    <xf numFmtId="4" fontId="60" fillId="2" borderId="58" xfId="0" applyNumberFormat="1" applyFont="1" applyFill="1" applyBorder="1" applyAlignment="1">
      <alignment horizontal="center" vertical="center"/>
    </xf>
    <xf numFmtId="4" fontId="61" fillId="2" borderId="59" xfId="0" applyNumberFormat="1" applyFont="1" applyFill="1" applyBorder="1" applyAlignment="1">
      <alignment horizontal="left" vertical="center"/>
    </xf>
    <xf numFmtId="4" fontId="61" fillId="2" borderId="59" xfId="0" applyNumberFormat="1" applyFont="1" applyFill="1" applyBorder="1" applyAlignment="1">
      <alignment horizontal="right" vertical="center"/>
    </xf>
    <xf numFmtId="4" fontId="61" fillId="5" borderId="59" xfId="0" applyNumberFormat="1" applyFont="1" applyFill="1" applyBorder="1" applyAlignment="1">
      <alignment horizontal="right" vertical="center"/>
    </xf>
    <xf numFmtId="4" fontId="38" fillId="2" borderId="48" xfId="0" applyNumberFormat="1" applyFont="1" applyFill="1" applyBorder="1" applyAlignment="1">
      <alignment vertical="center"/>
    </xf>
    <xf numFmtId="4" fontId="61" fillId="2" borderId="0" xfId="0" applyNumberFormat="1" applyFont="1" applyFill="1" applyAlignment="1">
      <alignment horizontal="left" vertical="center"/>
    </xf>
    <xf numFmtId="4" fontId="50" fillId="2" borderId="0" xfId="0" applyNumberFormat="1" applyFont="1" applyFill="1" applyAlignment="1">
      <alignment horizontal="left" vertical="center"/>
    </xf>
    <xf numFmtId="4" fontId="50" fillId="2" borderId="0" xfId="0" applyNumberFormat="1" applyFont="1" applyFill="1" applyAlignment="1">
      <alignment horizontal="right" vertical="center"/>
    </xf>
    <xf numFmtId="4" fontId="69" fillId="2" borderId="0" xfId="0" applyNumberFormat="1" applyFont="1" applyFill="1" applyAlignment="1">
      <alignment horizontal="right" vertical="center"/>
    </xf>
    <xf numFmtId="4" fontId="38" fillId="2" borderId="0" xfId="0" applyNumberFormat="1" applyFont="1" applyFill="1" applyAlignment="1">
      <alignment vertical="center"/>
    </xf>
    <xf numFmtId="4" fontId="33" fillId="11" borderId="64" xfId="0" applyNumberFormat="1" applyFont="1" applyFill="1" applyBorder="1" applyAlignment="1">
      <alignment horizontal="right" vertical="center"/>
    </xf>
    <xf numFmtId="4" fontId="25" fillId="2" borderId="45" xfId="0" applyNumberFormat="1" applyFont="1" applyFill="1" applyBorder="1" applyAlignment="1">
      <alignment horizontal="left" vertical="center"/>
    </xf>
    <xf numFmtId="4" fontId="61" fillId="5" borderId="114" xfId="0" applyNumberFormat="1" applyFont="1" applyFill="1" applyBorder="1" applyAlignment="1">
      <alignment horizontal="right" vertical="center"/>
    </xf>
    <xf numFmtId="4" fontId="25" fillId="2" borderId="51" xfId="0" applyNumberFormat="1" applyFont="1" applyFill="1" applyBorder="1" applyAlignment="1">
      <alignment horizontal="left" vertical="center"/>
    </xf>
    <xf numFmtId="4" fontId="25" fillId="2" borderId="52" xfId="0" applyNumberFormat="1" applyFont="1" applyFill="1" applyBorder="1" applyAlignment="1">
      <alignment horizontal="right" vertical="center"/>
    </xf>
    <xf numFmtId="4" fontId="37" fillId="2" borderId="51" xfId="0" applyNumberFormat="1" applyFont="1" applyFill="1" applyBorder="1" applyAlignment="1">
      <alignment vertical="center"/>
    </xf>
    <xf numFmtId="4" fontId="25" fillId="2" borderId="123" xfId="0" applyNumberFormat="1" applyFont="1" applyFill="1" applyBorder="1" applyAlignment="1">
      <alignment horizontal="left" vertical="center"/>
    </xf>
    <xf numFmtId="4" fontId="61" fillId="5" borderId="126" xfId="0" applyNumberFormat="1" applyFont="1" applyFill="1" applyBorder="1" applyAlignment="1">
      <alignment horizontal="right" vertical="center"/>
    </xf>
    <xf numFmtId="4" fontId="24" fillId="2" borderId="126" xfId="0" applyNumberFormat="1" applyFont="1" applyFill="1" applyBorder="1" applyAlignment="1">
      <alignment horizontal="right" vertical="center"/>
    </xf>
    <xf numFmtId="4" fontId="41" fillId="2" borderId="26" xfId="0" applyNumberFormat="1" applyFont="1" applyFill="1" applyBorder="1" applyAlignment="1">
      <alignment horizontal="left"/>
    </xf>
    <xf numFmtId="4" fontId="41" fillId="2" borderId="27" xfId="0" applyNumberFormat="1" applyFont="1" applyFill="1" applyBorder="1" applyAlignment="1">
      <alignment horizontal="right"/>
    </xf>
    <xf numFmtId="4" fontId="41" fillId="2" borderId="28" xfId="0" applyNumberFormat="1" applyFont="1" applyFill="1" applyBorder="1" applyAlignment="1">
      <alignment horizontal="left"/>
    </xf>
    <xf numFmtId="4" fontId="39" fillId="2" borderId="0" xfId="0" applyNumberFormat="1" applyFont="1" applyFill="1" applyAlignment="1">
      <alignment horizontal="left"/>
    </xf>
    <xf numFmtId="4" fontId="44" fillId="2" borderId="0" xfId="0" applyNumberFormat="1" applyFont="1" applyFill="1" applyAlignment="1">
      <alignment horizontal="left"/>
    </xf>
    <xf numFmtId="4" fontId="31" fillId="2" borderId="0" xfId="0" applyNumberFormat="1" applyFont="1" applyFill="1" applyAlignment="1">
      <alignment horizontal="right"/>
    </xf>
    <xf numFmtId="4" fontId="42" fillId="2" borderId="0" xfId="0" applyNumberFormat="1" applyFont="1" applyFill="1" applyAlignment="1">
      <alignment horizontal="right"/>
    </xf>
    <xf numFmtId="4" fontId="61" fillId="2" borderId="52" xfId="0" applyNumberFormat="1" applyFont="1" applyFill="1" applyBorder="1" applyAlignment="1" applyProtection="1">
      <alignment horizontal="right" vertical="center"/>
      <protection locked="0"/>
    </xf>
    <xf numFmtId="4" fontId="61" fillId="2" borderId="75" xfId="0" applyNumberFormat="1" applyFont="1" applyFill="1" applyBorder="1" applyAlignment="1" applyProtection="1">
      <alignment horizontal="right" vertical="center"/>
      <protection locked="0"/>
    </xf>
    <xf numFmtId="4" fontId="61" fillId="2" borderId="110" xfId="0" applyNumberFormat="1" applyFont="1" applyFill="1" applyBorder="1" applyAlignment="1" applyProtection="1">
      <alignment horizontal="right" vertical="center"/>
      <protection locked="0"/>
    </xf>
    <xf numFmtId="4" fontId="62" fillId="2" borderId="52" xfId="0" applyNumberFormat="1" applyFont="1" applyFill="1" applyBorder="1" applyAlignment="1" applyProtection="1">
      <alignment horizontal="right" vertical="center"/>
      <protection locked="0"/>
    </xf>
    <xf numFmtId="4" fontId="64" fillId="2" borderId="52" xfId="0" applyNumberFormat="1" applyFont="1" applyFill="1" applyBorder="1" applyAlignment="1" applyProtection="1">
      <alignment horizontal="right" vertical="center"/>
      <protection locked="0"/>
    </xf>
    <xf numFmtId="4" fontId="62" fillId="2" borderId="75" xfId="0" applyNumberFormat="1" applyFont="1" applyFill="1" applyBorder="1" applyAlignment="1" applyProtection="1">
      <alignment horizontal="right" vertical="center"/>
      <protection locked="0"/>
    </xf>
    <xf numFmtId="4" fontId="64" fillId="2" borderId="75" xfId="0" applyNumberFormat="1" applyFont="1" applyFill="1" applyBorder="1" applyAlignment="1" applyProtection="1">
      <alignment horizontal="right" vertical="center"/>
      <protection locked="0"/>
    </xf>
    <xf numFmtId="4" fontId="62" fillId="2" borderId="126" xfId="0" applyNumberFormat="1" applyFont="1" applyFill="1" applyBorder="1" applyAlignment="1" applyProtection="1">
      <alignment horizontal="right" vertical="center"/>
      <protection locked="0"/>
    </xf>
    <xf numFmtId="4" fontId="60" fillId="2" borderId="123" xfId="0" applyNumberFormat="1" applyFont="1" applyFill="1" applyBorder="1" applyAlignment="1" applyProtection="1">
      <alignment horizontal="center" vertical="center"/>
      <protection locked="0"/>
    </xf>
    <xf numFmtId="4" fontId="62" fillId="2" borderId="52" xfId="0" applyNumberFormat="1" applyFont="1" applyFill="1" applyBorder="1" applyAlignment="1" applyProtection="1">
      <alignment horizontal="left" vertical="center"/>
      <protection locked="0"/>
    </xf>
    <xf numFmtId="4" fontId="60" fillId="2" borderId="67" xfId="0" applyNumberFormat="1" applyFont="1" applyFill="1" applyBorder="1" applyAlignment="1" applyProtection="1">
      <alignment horizontal="center" vertical="center"/>
      <protection locked="0"/>
    </xf>
    <xf numFmtId="4" fontId="60" fillId="2" borderId="127" xfId="0" applyNumberFormat="1" applyFont="1" applyFill="1" applyBorder="1" applyAlignment="1" applyProtection="1">
      <alignment horizontal="center" vertical="center"/>
      <protection locked="0"/>
    </xf>
    <xf numFmtId="4" fontId="62" fillId="2" borderId="126" xfId="0" applyNumberFormat="1" applyFont="1" applyFill="1" applyBorder="1" applyAlignment="1" applyProtection="1">
      <alignment horizontal="left" vertical="center"/>
      <protection locked="0"/>
    </xf>
    <xf numFmtId="4" fontId="33" fillId="2" borderId="54" xfId="0" applyNumberFormat="1" applyFont="1" applyFill="1" applyBorder="1" applyAlignment="1" applyProtection="1">
      <alignment horizontal="left"/>
      <protection locked="0"/>
    </xf>
    <xf numFmtId="4" fontId="32" fillId="2" borderId="0" xfId="0" applyNumberFormat="1" applyFont="1" applyFill="1" applyAlignment="1" applyProtection="1">
      <alignment horizontal="left"/>
      <protection locked="0"/>
    </xf>
    <xf numFmtId="4" fontId="31" fillId="2" borderId="0" xfId="0" applyNumberFormat="1" applyFont="1" applyFill="1" applyAlignment="1" applyProtection="1">
      <alignment horizontal="left"/>
      <protection locked="0"/>
    </xf>
    <xf numFmtId="4" fontId="41" fillId="2" borderId="0" xfId="0" applyNumberFormat="1" applyFont="1" applyFill="1" applyAlignment="1" applyProtection="1">
      <alignment horizontal="left"/>
      <protection locked="0"/>
    </xf>
    <xf numFmtId="4" fontId="61" fillId="2" borderId="52" xfId="0" applyNumberFormat="1" applyFont="1" applyFill="1" applyBorder="1" applyAlignment="1" applyProtection="1">
      <alignment horizontal="left" vertical="center"/>
      <protection locked="0"/>
    </xf>
    <xf numFmtId="4" fontId="62" fillId="2" borderId="75" xfId="0" applyNumberFormat="1" applyFont="1" applyFill="1" applyBorder="1" applyAlignment="1" applyProtection="1">
      <alignment horizontal="left" vertical="center"/>
      <protection locked="0"/>
    </xf>
    <xf numFmtId="4" fontId="61" fillId="2" borderId="75" xfId="0" applyNumberFormat="1" applyFont="1" applyFill="1" applyBorder="1" applyAlignment="1" applyProtection="1">
      <alignment horizontal="left" vertical="center"/>
      <protection locked="0"/>
    </xf>
    <xf numFmtId="0" fontId="31" fillId="5" borderId="128" xfId="0" applyFont="1" applyFill="1" applyBorder="1" applyAlignment="1">
      <alignment horizontal="center"/>
    </xf>
    <xf numFmtId="0" fontId="31" fillId="5" borderId="129" xfId="0" applyFont="1" applyFill="1" applyBorder="1" applyAlignment="1">
      <alignment horizontal="center"/>
    </xf>
    <xf numFmtId="0" fontId="44" fillId="5" borderId="33" xfId="0" applyFont="1" applyFill="1" applyBorder="1" applyAlignment="1">
      <alignment horizontal="center"/>
    </xf>
    <xf numFmtId="0" fontId="31" fillId="5" borderId="67" xfId="0" applyFont="1" applyFill="1" applyBorder="1" applyAlignment="1">
      <alignment horizontal="center"/>
    </xf>
    <xf numFmtId="0" fontId="42" fillId="5" borderId="67" xfId="0" applyFont="1" applyFill="1" applyBorder="1" applyAlignment="1">
      <alignment horizontal="center"/>
    </xf>
    <xf numFmtId="4" fontId="31" fillId="2" borderId="0" xfId="0" applyNumberFormat="1" applyFont="1" applyFill="1"/>
    <xf numFmtId="4" fontId="31" fillId="2" borderId="77" xfId="0" applyNumberFormat="1" applyFont="1" applyFill="1" applyBorder="1"/>
    <xf numFmtId="4" fontId="44" fillId="2" borderId="31" xfId="0" applyNumberFormat="1" applyFont="1" applyFill="1" applyBorder="1"/>
    <xf numFmtId="0" fontId="32" fillId="2" borderId="130" xfId="0" applyFont="1" applyFill="1" applyBorder="1" applyAlignment="1" applyProtection="1">
      <alignment vertical="center"/>
      <protection locked="0"/>
    </xf>
    <xf numFmtId="0" fontId="32" fillId="2" borderId="131" xfId="0" applyFont="1" applyFill="1" applyBorder="1" applyAlignment="1" applyProtection="1">
      <alignment vertical="center"/>
      <protection locked="0"/>
    </xf>
    <xf numFmtId="4" fontId="32" fillId="2" borderId="113" xfId="0" applyNumberFormat="1" applyFont="1" applyFill="1" applyBorder="1" applyAlignment="1" applyProtection="1">
      <alignment horizontal="left" vertical="center"/>
      <protection locked="0"/>
    </xf>
    <xf numFmtId="0" fontId="32" fillId="2" borderId="112" xfId="0" applyFont="1" applyFill="1" applyBorder="1" applyAlignment="1" applyProtection="1">
      <alignment vertical="center"/>
      <protection locked="0"/>
    </xf>
    <xf numFmtId="0" fontId="32" fillId="2" borderId="51" xfId="0" applyFont="1" applyFill="1" applyBorder="1" applyAlignment="1" applyProtection="1">
      <alignment horizontal="left" vertical="center"/>
      <protection locked="0"/>
    </xf>
    <xf numFmtId="0" fontId="32" fillId="2" borderId="51" xfId="0" applyFont="1" applyFill="1" applyBorder="1" applyAlignment="1" applyProtection="1">
      <alignment horizontal="center" vertical="center"/>
      <protection locked="0"/>
    </xf>
    <xf numFmtId="14" fontId="32" fillId="2" borderId="51" xfId="0" applyNumberFormat="1" applyFont="1" applyFill="1" applyBorder="1" applyAlignment="1" applyProtection="1">
      <alignment horizontal="center" vertical="center"/>
      <protection locked="0"/>
    </xf>
    <xf numFmtId="4" fontId="60" fillId="12" borderId="123" xfId="0" applyNumberFormat="1" applyFont="1" applyFill="1" applyBorder="1" applyAlignment="1">
      <alignment horizontal="center" vertical="center"/>
    </xf>
    <xf numFmtId="4" fontId="61" fillId="12" borderId="52" xfId="0" applyNumberFormat="1" applyFont="1" applyFill="1" applyBorder="1" applyAlignment="1">
      <alignment horizontal="left" vertical="center"/>
    </xf>
    <xf numFmtId="4" fontId="61" fillId="12" borderId="52" xfId="0" applyNumberFormat="1" applyFont="1" applyFill="1" applyBorder="1" applyAlignment="1">
      <alignment horizontal="right" vertical="center"/>
    </xf>
    <xf numFmtId="0" fontId="33" fillId="5" borderId="124" xfId="0" applyFont="1" applyFill="1" applyBorder="1" applyAlignment="1">
      <alignment vertical="center"/>
    </xf>
    <xf numFmtId="0" fontId="36" fillId="5" borderId="125" xfId="0" applyFont="1" applyFill="1" applyBorder="1" applyAlignment="1">
      <alignment horizontal="center" vertical="center"/>
    </xf>
    <xf numFmtId="4" fontId="33" fillId="5" borderId="132" xfId="0" applyNumberFormat="1" applyFont="1" applyFill="1" applyBorder="1" applyAlignment="1">
      <alignment vertical="center"/>
    </xf>
    <xf numFmtId="4" fontId="32" fillId="2" borderId="112" xfId="0" applyNumberFormat="1" applyFont="1" applyFill="1" applyBorder="1" applyAlignment="1" applyProtection="1">
      <alignment horizontal="left" vertical="center"/>
      <protection locked="0"/>
    </xf>
    <xf numFmtId="0" fontId="32" fillId="2" borderId="0" xfId="0" applyFont="1" applyFill="1" applyAlignment="1">
      <alignment horizontal="left" vertical="center"/>
    </xf>
    <xf numFmtId="0" fontId="70" fillId="6" borderId="0" xfId="0" applyFont="1" applyFill="1" applyAlignment="1">
      <alignment vertical="center"/>
    </xf>
    <xf numFmtId="0" fontId="32" fillId="2" borderId="123" xfId="0" applyFont="1" applyFill="1" applyBorder="1" applyAlignment="1" applyProtection="1">
      <alignment vertical="center"/>
      <protection locked="0"/>
    </xf>
    <xf numFmtId="4" fontId="32" fillId="2" borderId="113" xfId="0" applyNumberFormat="1" applyFont="1" applyFill="1" applyBorder="1" applyAlignment="1" applyProtection="1">
      <alignment vertical="center"/>
      <protection locked="0"/>
    </xf>
    <xf numFmtId="0" fontId="31" fillId="2" borderId="0" xfId="0" applyFont="1" applyFill="1" applyAlignment="1">
      <alignment horizontal="right" vertical="center"/>
    </xf>
    <xf numFmtId="0" fontId="32" fillId="2" borderId="123" xfId="0" applyFont="1" applyFill="1" applyBorder="1" applyAlignment="1">
      <alignment horizontal="left" vertical="center"/>
    </xf>
    <xf numFmtId="0" fontId="32" fillId="2" borderId="111" xfId="0" applyFont="1" applyFill="1" applyBorder="1" applyAlignment="1">
      <alignment horizontal="left" vertical="center"/>
    </xf>
    <xf numFmtId="0" fontId="31" fillId="2" borderId="133" xfId="0" applyFont="1" applyFill="1" applyBorder="1" applyAlignment="1">
      <alignment vertical="center"/>
    </xf>
    <xf numFmtId="4" fontId="31" fillId="2" borderId="134" xfId="0" applyNumberFormat="1" applyFont="1" applyFill="1" applyBorder="1" applyAlignment="1">
      <alignment horizontal="right" vertical="center"/>
    </xf>
    <xf numFmtId="4" fontId="31" fillId="2" borderId="47" xfId="0" applyNumberFormat="1" applyFont="1" applyFill="1" applyBorder="1" applyAlignment="1">
      <alignment horizontal="right" vertical="center"/>
    </xf>
    <xf numFmtId="3" fontId="48" fillId="2" borderId="0" xfId="0" applyNumberFormat="1" applyFont="1" applyFill="1" applyAlignment="1">
      <alignment horizontal="center" vertical="center"/>
    </xf>
    <xf numFmtId="0" fontId="47" fillId="2" borderId="0" xfId="0" quotePrefix="1" applyFont="1" applyFill="1" applyAlignment="1">
      <alignment horizontal="left" vertical="center"/>
    </xf>
    <xf numFmtId="0" fontId="47" fillId="0" borderId="0" xfId="0" applyFont="1" applyAlignment="1">
      <alignment horizontal="left" vertical="center"/>
    </xf>
    <xf numFmtId="4" fontId="47" fillId="0" borderId="0" xfId="0" applyNumberFormat="1" applyFont="1" applyAlignment="1">
      <alignment horizontal="left" vertical="center"/>
    </xf>
    <xf numFmtId="0" fontId="41" fillId="0" borderId="0" xfId="0" applyFont="1" applyAlignment="1">
      <alignment horizontal="left"/>
    </xf>
    <xf numFmtId="0" fontId="71" fillId="2" borderId="0" xfId="0" applyFont="1" applyFill="1" applyAlignment="1">
      <alignment horizontal="left"/>
    </xf>
    <xf numFmtId="4" fontId="31" fillId="13" borderId="44" xfId="0" applyNumberFormat="1" applyFont="1" applyFill="1" applyBorder="1" applyAlignment="1">
      <alignment vertical="center"/>
    </xf>
    <xf numFmtId="0" fontId="9" fillId="5" borderId="33" xfId="1" applyFont="1" applyFill="1" applyBorder="1" applyAlignment="1">
      <alignment horizontal="center" wrapText="1"/>
    </xf>
    <xf numFmtId="4" fontId="31" fillId="2" borderId="110" xfId="0" applyNumberFormat="1" applyFont="1" applyFill="1" applyBorder="1" applyAlignment="1" applyProtection="1">
      <alignment vertical="center"/>
      <protection locked="0"/>
    </xf>
    <xf numFmtId="4" fontId="31" fillId="2" borderId="113" xfId="0" applyNumberFormat="1" applyFont="1" applyFill="1" applyBorder="1" applyAlignment="1" applyProtection="1">
      <alignment vertical="center"/>
      <protection locked="0"/>
    </xf>
    <xf numFmtId="4" fontId="31" fillId="2" borderId="49" xfId="0" applyNumberFormat="1" applyFont="1" applyFill="1" applyBorder="1" applyAlignment="1" applyProtection="1">
      <alignment vertical="center"/>
      <protection locked="0"/>
    </xf>
    <xf numFmtId="0" fontId="32" fillId="2" borderId="109" xfId="0" applyFont="1" applyFill="1" applyBorder="1" applyAlignment="1">
      <alignment horizontal="left" vertical="center"/>
    </xf>
    <xf numFmtId="0" fontId="32" fillId="2" borderId="112" xfId="0" applyFont="1" applyFill="1" applyBorder="1" applyAlignment="1">
      <alignment horizontal="left" vertical="center"/>
    </xf>
    <xf numFmtId="0" fontId="32" fillId="2" borderId="135" xfId="0" applyFont="1" applyFill="1" applyBorder="1" applyAlignment="1">
      <alignment vertical="center"/>
    </xf>
    <xf numFmtId="0" fontId="31" fillId="5" borderId="33" xfId="0" applyFont="1" applyFill="1" applyBorder="1" applyAlignment="1">
      <alignment horizontal="center" vertical="center" wrapText="1"/>
    </xf>
    <xf numFmtId="4" fontId="33" fillId="5" borderId="5" xfId="0" applyNumberFormat="1" applyFont="1" applyFill="1" applyBorder="1" applyAlignment="1">
      <alignment horizontal="left" vertical="center"/>
    </xf>
    <xf numFmtId="4" fontId="33" fillId="5" borderId="6" xfId="0" applyNumberFormat="1" applyFont="1" applyFill="1" applyBorder="1" applyAlignment="1">
      <alignment horizontal="left" vertical="center"/>
    </xf>
    <xf numFmtId="0" fontId="31" fillId="5" borderId="136" xfId="0" applyFont="1" applyFill="1" applyBorder="1" applyAlignment="1" applyProtection="1">
      <alignment horizontal="left" vertical="center"/>
      <protection locked="0"/>
    </xf>
    <xf numFmtId="0" fontId="31" fillId="5" borderId="60" xfId="0" quotePrefix="1" applyFont="1" applyFill="1" applyBorder="1" applyAlignment="1">
      <alignment horizontal="center" vertical="center"/>
    </xf>
    <xf numFmtId="3" fontId="33" fillId="2" borderId="54" xfId="0" applyNumberFormat="1" applyFont="1" applyFill="1" applyBorder="1" applyAlignment="1">
      <alignment horizontal="center" vertical="center"/>
    </xf>
    <xf numFmtId="0" fontId="51" fillId="2" borderId="0" xfId="0" applyFont="1" applyFill="1" applyAlignment="1">
      <alignment vertical="center"/>
    </xf>
    <xf numFmtId="4" fontId="51" fillId="2" borderId="0" xfId="0" applyNumberFormat="1" applyFont="1" applyFill="1" applyAlignment="1">
      <alignment vertical="center"/>
    </xf>
    <xf numFmtId="0" fontId="32" fillId="2" borderId="137" xfId="0" applyFont="1" applyFill="1" applyBorder="1"/>
    <xf numFmtId="0" fontId="32" fillId="2" borderId="138" xfId="0" applyFont="1" applyFill="1" applyBorder="1"/>
    <xf numFmtId="0" fontId="32" fillId="2" borderId="87" xfId="0" applyFont="1" applyFill="1" applyBorder="1" applyAlignment="1">
      <alignment horizontal="center"/>
    </xf>
    <xf numFmtId="0" fontId="32" fillId="2" borderId="29" xfId="0" applyFont="1" applyFill="1" applyBorder="1"/>
    <xf numFmtId="4" fontId="33" fillId="2" borderId="0" xfId="0" applyNumberFormat="1" applyFont="1" applyFill="1" applyAlignment="1" applyProtection="1">
      <alignment horizontal="left" vertical="center"/>
      <protection locked="0"/>
    </xf>
    <xf numFmtId="0" fontId="15" fillId="2" borderId="0" xfId="0" applyFont="1" applyFill="1" applyAlignment="1">
      <alignment vertical="center"/>
    </xf>
    <xf numFmtId="0" fontId="72" fillId="0" borderId="0" xfId="0" applyFont="1"/>
    <xf numFmtId="0" fontId="47" fillId="2" borderId="0" xfId="0" applyFont="1" applyFill="1" applyAlignment="1">
      <alignment horizontal="left" vertical="center" indent="3"/>
    </xf>
    <xf numFmtId="4" fontId="73" fillId="2" borderId="51" xfId="0" applyNumberFormat="1" applyFont="1" applyFill="1" applyBorder="1" applyAlignment="1">
      <alignment vertical="center"/>
    </xf>
    <xf numFmtId="10" fontId="73" fillId="2" borderId="52" xfId="0" applyNumberFormat="1" applyFont="1" applyFill="1" applyBorder="1" applyAlignment="1">
      <alignment horizontal="right" vertical="center"/>
    </xf>
    <xf numFmtId="10" fontId="73" fillId="2" borderId="113" xfId="0" applyNumberFormat="1" applyFont="1" applyFill="1" applyBorder="1" applyAlignment="1">
      <alignment horizontal="right" vertical="center"/>
    </xf>
    <xf numFmtId="4" fontId="73" fillId="2" borderId="48" xfId="0" applyNumberFormat="1" applyFont="1" applyFill="1" applyBorder="1" applyAlignment="1">
      <alignment vertical="center"/>
    </xf>
    <xf numFmtId="10" fontId="73" fillId="2" borderId="49" xfId="0" applyNumberFormat="1" applyFont="1" applyFill="1" applyBorder="1" applyAlignment="1">
      <alignment horizontal="right" vertical="center"/>
    </xf>
    <xf numFmtId="1" fontId="34" fillId="2" borderId="0" xfId="0" applyNumberFormat="1" applyFont="1" applyFill="1" applyAlignment="1">
      <alignment horizontal="center" vertical="center"/>
    </xf>
    <xf numFmtId="0" fontId="10" fillId="5" borderId="63" xfId="1" applyFont="1" applyFill="1" applyBorder="1" applyAlignment="1">
      <alignment horizontal="center" vertical="center" wrapText="1"/>
    </xf>
    <xf numFmtId="0" fontId="38" fillId="2" borderId="113" xfId="0" applyFont="1" applyFill="1" applyBorder="1" applyAlignment="1">
      <alignment vertical="center"/>
    </xf>
    <xf numFmtId="4" fontId="31" fillId="2" borderId="139" xfId="0" applyNumberFormat="1" applyFont="1" applyFill="1" applyBorder="1" applyAlignment="1">
      <alignment vertical="center"/>
    </xf>
    <xf numFmtId="4" fontId="31" fillId="2" borderId="140" xfId="0" applyNumberFormat="1" applyFont="1" applyFill="1" applyBorder="1" applyAlignment="1">
      <alignment vertical="center"/>
    </xf>
    <xf numFmtId="4" fontId="31" fillId="2" borderId="141" xfId="0" applyNumberFormat="1" applyFont="1" applyFill="1" applyBorder="1" applyAlignment="1">
      <alignment vertical="center"/>
    </xf>
    <xf numFmtId="4" fontId="32" fillId="2" borderId="142" xfId="0" applyNumberFormat="1" applyFont="1" applyFill="1" applyBorder="1" applyAlignment="1" applyProtection="1">
      <alignment vertical="center"/>
      <protection locked="0"/>
    </xf>
    <xf numFmtId="4" fontId="32" fillId="2" borderId="143" xfId="0" applyNumberFormat="1" applyFont="1" applyFill="1" applyBorder="1" applyAlignment="1" applyProtection="1">
      <alignment vertical="center"/>
      <protection locked="0"/>
    </xf>
    <xf numFmtId="4" fontId="32" fillId="2" borderId="144" xfId="0" applyNumberFormat="1" applyFont="1" applyFill="1" applyBorder="1" applyAlignment="1" applyProtection="1">
      <alignment vertical="center"/>
      <protection locked="0"/>
    </xf>
    <xf numFmtId="4" fontId="32" fillId="2" borderId="145" xfId="0" applyNumberFormat="1" applyFont="1" applyFill="1" applyBorder="1" applyAlignment="1" applyProtection="1">
      <alignment vertical="center"/>
      <protection locked="0"/>
    </xf>
    <xf numFmtId="4" fontId="32" fillId="2" borderId="122" xfId="0" applyNumberFormat="1" applyFont="1" applyFill="1" applyBorder="1" applyAlignment="1" applyProtection="1">
      <alignment vertical="center"/>
      <protection locked="0"/>
    </xf>
    <xf numFmtId="4" fontId="32" fillId="2" borderId="146" xfId="0" applyNumberFormat="1" applyFont="1" applyFill="1" applyBorder="1" applyAlignment="1" applyProtection="1">
      <alignment vertical="center"/>
      <protection locked="0"/>
    </xf>
    <xf numFmtId="4" fontId="32" fillId="2" borderId="110" xfId="0" applyNumberFormat="1" applyFont="1" applyFill="1" applyBorder="1" applyAlignment="1" applyProtection="1">
      <alignment vertical="center"/>
      <protection locked="0"/>
    </xf>
    <xf numFmtId="4" fontId="32" fillId="2" borderId="147" xfId="0" applyNumberFormat="1" applyFont="1" applyFill="1" applyBorder="1" applyAlignment="1" applyProtection="1">
      <alignment vertical="center"/>
      <protection locked="0"/>
    </xf>
    <xf numFmtId="4" fontId="32" fillId="2" borderId="52" xfId="0" applyNumberFormat="1" applyFont="1" applyFill="1" applyBorder="1" applyAlignment="1" applyProtection="1">
      <alignment vertical="center"/>
      <protection locked="0"/>
    </xf>
    <xf numFmtId="4" fontId="32" fillId="2" borderId="148" xfId="0" applyNumberFormat="1" applyFont="1" applyFill="1" applyBorder="1" applyAlignment="1" applyProtection="1">
      <alignment vertical="center"/>
      <protection locked="0"/>
    </xf>
    <xf numFmtId="4" fontId="32" fillId="2" borderId="49" xfId="0" applyNumberFormat="1" applyFont="1" applyFill="1" applyBorder="1" applyAlignment="1" applyProtection="1">
      <alignment vertical="center"/>
      <protection locked="0"/>
    </xf>
    <xf numFmtId="4" fontId="32" fillId="2" borderId="149" xfId="0" applyNumberFormat="1" applyFont="1" applyFill="1" applyBorder="1" applyAlignment="1" applyProtection="1">
      <alignment vertical="center"/>
      <protection locked="0"/>
    </xf>
    <xf numFmtId="0" fontId="31" fillId="2" borderId="43" xfId="0" applyFont="1" applyFill="1" applyBorder="1" applyAlignment="1">
      <alignment horizontal="center" vertical="center"/>
    </xf>
    <xf numFmtId="0" fontId="31" fillId="5" borderId="64" xfId="0" applyFont="1" applyFill="1" applyBorder="1" applyAlignment="1">
      <alignment horizontal="left" vertical="center"/>
    </xf>
    <xf numFmtId="0" fontId="31" fillId="5" borderId="54" xfId="0" applyFont="1" applyFill="1" applyBorder="1" applyAlignment="1">
      <alignment horizontal="center" vertical="center" wrapText="1"/>
    </xf>
    <xf numFmtId="0" fontId="31" fillId="2" borderId="50" xfId="0" applyFont="1" applyFill="1" applyBorder="1" applyAlignment="1">
      <alignment vertical="center"/>
    </xf>
    <xf numFmtId="4" fontId="73" fillId="0" borderId="51" xfId="0" applyNumberFormat="1" applyFont="1" applyBorder="1" applyAlignment="1">
      <alignment vertical="center"/>
    </xf>
    <xf numFmtId="4" fontId="73" fillId="0" borderId="48" xfId="0" applyNumberFormat="1" applyFont="1" applyBorder="1" applyAlignment="1">
      <alignment vertical="center"/>
    </xf>
    <xf numFmtId="4" fontId="49" fillId="6" borderId="76" xfId="0" applyNumberFormat="1" applyFont="1" applyFill="1" applyBorder="1"/>
    <xf numFmtId="0" fontId="31" fillId="2" borderId="123" xfId="0" applyFont="1" applyFill="1" applyBorder="1" applyAlignment="1">
      <alignment horizontal="left" vertical="center"/>
    </xf>
    <xf numFmtId="0" fontId="31" fillId="2" borderId="52" xfId="0" applyFont="1" applyFill="1" applyBorder="1" applyAlignment="1">
      <alignment horizontal="left" vertical="center"/>
    </xf>
    <xf numFmtId="0" fontId="73" fillId="2" borderId="123" xfId="0" applyFont="1" applyFill="1" applyBorder="1" applyAlignment="1">
      <alignment horizontal="center" vertical="center"/>
    </xf>
    <xf numFmtId="0" fontId="73" fillId="2" borderId="52" xfId="0" applyFont="1" applyFill="1" applyBorder="1" applyAlignment="1">
      <alignment horizontal="left" vertical="center"/>
    </xf>
    <xf numFmtId="0" fontId="73" fillId="2" borderId="111" xfId="0" applyFont="1" applyFill="1" applyBorder="1" applyAlignment="1">
      <alignment horizontal="center" vertical="center"/>
    </xf>
    <xf numFmtId="0" fontId="73" fillId="2" borderId="49" xfId="0" applyFont="1" applyFill="1" applyBorder="1" applyAlignment="1">
      <alignment horizontal="left" vertical="center"/>
    </xf>
    <xf numFmtId="0" fontId="32" fillId="2" borderId="52" xfId="0" applyFont="1" applyFill="1" applyBorder="1" applyAlignment="1">
      <alignment horizontal="left" vertical="center"/>
    </xf>
    <xf numFmtId="0" fontId="8" fillId="2" borderId="0" xfId="0" applyFont="1" applyFill="1" applyAlignment="1">
      <alignment horizontal="left"/>
    </xf>
    <xf numFmtId="4" fontId="8" fillId="2" borderId="0" xfId="0" applyNumberFormat="1" applyFont="1" applyFill="1" applyAlignment="1">
      <alignment horizontal="left"/>
    </xf>
    <xf numFmtId="0" fontId="38" fillId="2" borderId="52" xfId="0" applyFont="1" applyFill="1" applyBorder="1" applyAlignment="1">
      <alignment horizontal="left" vertical="center"/>
    </xf>
    <xf numFmtId="0" fontId="38" fillId="0" borderId="0" xfId="0" applyFont="1" applyAlignment="1">
      <alignment horizontal="left"/>
    </xf>
    <xf numFmtId="0" fontId="38" fillId="0" borderId="22" xfId="0" applyFont="1" applyBorder="1" applyAlignment="1">
      <alignment horizontal="left"/>
    </xf>
    <xf numFmtId="0" fontId="38" fillId="2" borderId="75" xfId="0" applyFont="1" applyFill="1" applyBorder="1" applyAlignment="1">
      <alignment vertical="center"/>
    </xf>
    <xf numFmtId="0" fontId="38" fillId="2" borderId="75" xfId="0" applyFont="1" applyFill="1" applyBorder="1" applyAlignment="1">
      <alignment horizontal="left" vertical="center"/>
    </xf>
    <xf numFmtId="0" fontId="38" fillId="0" borderId="52" xfId="0" applyFont="1" applyBorder="1" applyAlignment="1">
      <alignment horizontal="left" vertical="center"/>
    </xf>
    <xf numFmtId="0" fontId="38" fillId="0" borderId="67" xfId="0" applyFont="1" applyBorder="1" applyAlignment="1">
      <alignment horizontal="left" vertical="center"/>
    </xf>
    <xf numFmtId="0" fontId="37" fillId="0" borderId="75" xfId="0" applyFont="1" applyBorder="1" applyAlignment="1">
      <alignment horizontal="left" vertical="center"/>
    </xf>
    <xf numFmtId="0" fontId="47" fillId="2" borderId="0" xfId="0" applyFont="1" applyFill="1" applyAlignment="1">
      <alignment horizontal="left"/>
    </xf>
    <xf numFmtId="0" fontId="38" fillId="2" borderId="45" xfId="0" applyFont="1" applyFill="1" applyBorder="1" applyAlignment="1">
      <alignment horizontal="left" vertical="center"/>
    </xf>
    <xf numFmtId="0" fontId="38" fillId="2" borderId="51" xfId="0" applyFont="1" applyFill="1" applyBorder="1" applyAlignment="1">
      <alignment horizontal="left" vertical="center"/>
    </xf>
    <xf numFmtId="0" fontId="38" fillId="2" borderId="112" xfId="0" applyFont="1" applyFill="1" applyBorder="1" applyAlignment="1">
      <alignment horizontal="left" vertical="center"/>
    </xf>
    <xf numFmtId="0" fontId="38" fillId="2" borderId="150" xfId="0" applyFont="1" applyFill="1" applyBorder="1" applyAlignment="1">
      <alignment horizontal="left" vertical="center"/>
    </xf>
    <xf numFmtId="0" fontId="38" fillId="2" borderId="151" xfId="0" applyFont="1" applyFill="1" applyBorder="1" applyAlignment="1">
      <alignment vertical="center"/>
    </xf>
    <xf numFmtId="0" fontId="32" fillId="0" borderId="75" xfId="0" applyFont="1" applyBorder="1" applyAlignment="1">
      <alignment horizontal="left" vertical="center"/>
    </xf>
    <xf numFmtId="0" fontId="38" fillId="2" borderId="112" xfId="0" applyFont="1" applyFill="1" applyBorder="1" applyAlignment="1">
      <alignment vertical="center"/>
    </xf>
    <xf numFmtId="0" fontId="38" fillId="2" borderId="67" xfId="0" applyFont="1" applyFill="1" applyBorder="1" applyAlignment="1">
      <alignment vertical="center"/>
    </xf>
    <xf numFmtId="0" fontId="31" fillId="2" borderId="152" xfId="0" applyFont="1" applyFill="1" applyBorder="1" applyAlignment="1">
      <alignment horizontal="left" vertical="center"/>
    </xf>
    <xf numFmtId="0" fontId="38" fillId="0" borderId="75" xfId="0" applyFont="1" applyBorder="1" applyAlignment="1">
      <alignment horizontal="left" vertical="center"/>
    </xf>
    <xf numFmtId="0" fontId="38" fillId="2" borderId="153" xfId="0" applyFont="1" applyFill="1" applyBorder="1" applyAlignment="1">
      <alignment horizontal="left" vertical="center"/>
    </xf>
    <xf numFmtId="0" fontId="37" fillId="2" borderId="151" xfId="0" applyFont="1" applyFill="1" applyBorder="1" applyAlignment="1">
      <alignment horizontal="left" vertical="center"/>
    </xf>
    <xf numFmtId="0" fontId="38" fillId="2" borderId="153" xfId="0" applyFont="1" applyFill="1" applyBorder="1" applyAlignment="1">
      <alignment vertical="center"/>
    </xf>
    <xf numFmtId="4" fontId="38" fillId="0" borderId="51" xfId="0" applyNumberFormat="1" applyFont="1" applyBorder="1" applyAlignment="1" applyProtection="1">
      <alignment horizontal="left" vertical="center"/>
      <protection locked="0"/>
    </xf>
    <xf numFmtId="4" fontId="38" fillId="2" borderId="51" xfId="0" applyNumberFormat="1" applyFont="1" applyFill="1" applyBorder="1" applyAlignment="1" applyProtection="1">
      <alignment horizontal="left" vertical="center"/>
      <protection locked="0"/>
    </xf>
    <xf numFmtId="4" fontId="38" fillId="2" borderId="51" xfId="0" applyNumberFormat="1" applyFont="1" applyFill="1" applyBorder="1" applyAlignment="1" applyProtection="1">
      <alignment horizontal="right" vertical="center"/>
      <protection locked="0"/>
    </xf>
    <xf numFmtId="4" fontId="31" fillId="5" borderId="54" xfId="0" applyNumberFormat="1" applyFont="1" applyFill="1" applyBorder="1" applyAlignment="1">
      <alignment horizontal="right" vertical="center"/>
    </xf>
    <xf numFmtId="4" fontId="10" fillId="5" borderId="63" xfId="1" applyNumberFormat="1" applyFont="1" applyFill="1" applyBorder="1" applyAlignment="1">
      <alignment horizontal="right" vertical="center" wrapText="1"/>
    </xf>
    <xf numFmtId="4" fontId="32" fillId="5" borderId="54" xfId="0" applyNumberFormat="1" applyFont="1" applyFill="1" applyBorder="1" applyAlignment="1">
      <alignment horizontal="left" vertical="center"/>
    </xf>
    <xf numFmtId="0" fontId="31" fillId="5" borderId="54" xfId="0" applyFont="1" applyFill="1" applyBorder="1" applyAlignment="1">
      <alignment horizontal="left" vertical="center"/>
    </xf>
    <xf numFmtId="165" fontId="32" fillId="2" borderId="108" xfId="0" applyNumberFormat="1" applyFont="1" applyFill="1" applyBorder="1" applyAlignment="1" applyProtection="1">
      <alignment horizontal="right" vertical="center"/>
      <protection locked="0"/>
    </xf>
    <xf numFmtId="0" fontId="32" fillId="2" borderId="0" xfId="0" applyFont="1" applyFill="1" applyAlignment="1">
      <alignment vertical="top"/>
    </xf>
    <xf numFmtId="0" fontId="10" fillId="5" borderId="58" xfId="1" applyFont="1" applyFill="1" applyBorder="1" applyAlignment="1">
      <alignment horizontal="center" vertical="center" wrapText="1"/>
    </xf>
    <xf numFmtId="0" fontId="32" fillId="2" borderId="51" xfId="0" applyFont="1" applyFill="1" applyBorder="1" applyAlignment="1">
      <alignment vertical="center"/>
    </xf>
    <xf numFmtId="0" fontId="38" fillId="2" borderId="7" xfId="0" applyFont="1" applyFill="1" applyBorder="1" applyAlignment="1">
      <alignment horizontal="left"/>
    </xf>
    <xf numFmtId="0" fontId="31" fillId="2" borderId="110" xfId="0" applyFont="1" applyFill="1" applyBorder="1" applyAlignment="1" applyProtection="1">
      <alignment horizontal="center" vertical="center"/>
      <protection locked="0"/>
    </xf>
    <xf numFmtId="0" fontId="31" fillId="2" borderId="52" xfId="0" applyFont="1" applyFill="1" applyBorder="1" applyAlignment="1" applyProtection="1">
      <alignment horizontal="center" vertical="center"/>
      <protection locked="0"/>
    </xf>
    <xf numFmtId="0" fontId="31" fillId="2" borderId="154" xfId="0" applyFont="1" applyFill="1" applyBorder="1" applyAlignment="1" applyProtection="1">
      <alignment horizontal="center" vertical="center"/>
      <protection locked="0"/>
    </xf>
    <xf numFmtId="0" fontId="31" fillId="2" borderId="155" xfId="0" applyFont="1" applyFill="1" applyBorder="1" applyAlignment="1" applyProtection="1">
      <alignment horizontal="center" vertical="center"/>
      <protection locked="0"/>
    </xf>
    <xf numFmtId="0" fontId="31" fillId="2" borderId="49" xfId="0" applyFont="1" applyFill="1" applyBorder="1" applyAlignment="1" applyProtection="1">
      <alignment horizontal="center" vertical="center"/>
      <protection locked="0"/>
    </xf>
    <xf numFmtId="0" fontId="31" fillId="2" borderId="113" xfId="0" applyFont="1" applyFill="1" applyBorder="1" applyAlignment="1" applyProtection="1">
      <alignment horizontal="center" vertical="center"/>
      <protection locked="0"/>
    </xf>
    <xf numFmtId="0" fontId="31" fillId="5" borderId="156" xfId="0" applyFont="1" applyFill="1" applyBorder="1" applyAlignment="1">
      <alignment horizontal="center"/>
    </xf>
    <xf numFmtId="0" fontId="44" fillId="5" borderId="36" xfId="0" applyFont="1" applyFill="1" applyBorder="1" applyAlignment="1">
      <alignment horizontal="center"/>
    </xf>
    <xf numFmtId="0" fontId="41" fillId="2" borderId="36" xfId="0" applyFont="1" applyFill="1" applyBorder="1"/>
    <xf numFmtId="4" fontId="32" fillId="2" borderId="33" xfId="0" applyNumberFormat="1" applyFont="1" applyFill="1" applyBorder="1" applyProtection="1">
      <protection locked="0"/>
    </xf>
    <xf numFmtId="4" fontId="62" fillId="2" borderId="75" xfId="0" applyNumberFormat="1" applyFont="1" applyFill="1" applyBorder="1" applyAlignment="1">
      <alignment horizontal="left" vertical="center"/>
    </xf>
    <xf numFmtId="0" fontId="38" fillId="2" borderId="2" xfId="0" applyFont="1" applyFill="1" applyBorder="1" applyProtection="1">
      <protection locked="0"/>
    </xf>
    <xf numFmtId="0" fontId="38" fillId="2" borderId="3" xfId="0" applyFont="1" applyFill="1" applyBorder="1" applyProtection="1">
      <protection locked="0"/>
    </xf>
    <xf numFmtId="0" fontId="41" fillId="2" borderId="2" xfId="0" applyFont="1" applyFill="1" applyBorder="1" applyProtection="1">
      <protection locked="0"/>
    </xf>
    <xf numFmtId="0" fontId="41" fillId="2" borderId="3" xfId="0" applyFont="1" applyFill="1" applyBorder="1" applyProtection="1">
      <protection locked="0"/>
    </xf>
    <xf numFmtId="0" fontId="32" fillId="2" borderId="133" xfId="0" applyFont="1" applyFill="1" applyBorder="1" applyAlignment="1" applyProtection="1">
      <alignment vertical="center"/>
      <protection locked="0"/>
    </xf>
    <xf numFmtId="0" fontId="32" fillId="2" borderId="113" xfId="0" applyFont="1" applyFill="1" applyBorder="1" applyAlignment="1" applyProtection="1">
      <alignment vertical="center"/>
      <protection locked="0"/>
    </xf>
    <xf numFmtId="0" fontId="32" fillId="2" borderId="157" xfId="0" applyFont="1" applyFill="1" applyBorder="1" applyAlignment="1" applyProtection="1">
      <alignment vertical="center"/>
      <protection locked="0"/>
    </xf>
    <xf numFmtId="4" fontId="74" fillId="2" borderId="0" xfId="0" applyNumberFormat="1" applyFont="1" applyFill="1" applyAlignment="1">
      <alignment horizontal="left" vertical="center"/>
    </xf>
    <xf numFmtId="4" fontId="31" fillId="2" borderId="158" xfId="0" applyNumberFormat="1" applyFont="1" applyFill="1" applyBorder="1" applyAlignment="1">
      <alignment vertical="center"/>
    </xf>
    <xf numFmtId="4" fontId="31" fillId="5" borderId="158" xfId="0" applyNumberFormat="1" applyFont="1" applyFill="1" applyBorder="1" applyAlignment="1">
      <alignment vertical="center"/>
    </xf>
    <xf numFmtId="4" fontId="38" fillId="2" borderId="150" xfId="0" applyNumberFormat="1" applyFont="1" applyFill="1" applyBorder="1" applyAlignment="1">
      <alignment vertical="center"/>
    </xf>
    <xf numFmtId="4" fontId="38" fillId="5" borderId="150" xfId="0" applyNumberFormat="1" applyFont="1" applyFill="1" applyBorder="1" applyAlignment="1">
      <alignment vertical="center"/>
    </xf>
    <xf numFmtId="4" fontId="38" fillId="2" borderId="159" xfId="0" applyNumberFormat="1" applyFont="1" applyFill="1" applyBorder="1" applyAlignment="1">
      <alignment vertical="center"/>
    </xf>
    <xf numFmtId="4" fontId="38" fillId="5" borderId="159" xfId="0" applyNumberFormat="1" applyFont="1" applyFill="1" applyBorder="1" applyAlignment="1">
      <alignment vertical="center"/>
    </xf>
    <xf numFmtId="1" fontId="32" fillId="2" borderId="51" xfId="0" applyNumberFormat="1" applyFont="1" applyFill="1" applyBorder="1" applyAlignment="1" applyProtection="1">
      <alignment horizontal="center" vertical="center"/>
      <protection locked="0"/>
    </xf>
    <xf numFmtId="1" fontId="32" fillId="2" borderId="47" xfId="0" applyNumberFormat="1" applyFont="1" applyFill="1" applyBorder="1" applyAlignment="1" applyProtection="1">
      <alignment horizontal="center" vertical="center"/>
      <protection locked="0"/>
    </xf>
    <xf numFmtId="1" fontId="32" fillId="2" borderId="48" xfId="0" applyNumberFormat="1" applyFont="1" applyFill="1" applyBorder="1" applyAlignment="1" applyProtection="1">
      <alignment horizontal="center" vertical="center"/>
      <protection locked="0"/>
    </xf>
    <xf numFmtId="4" fontId="54" fillId="2" borderId="0" xfId="0" applyNumberFormat="1" applyFont="1" applyFill="1" applyAlignment="1">
      <alignment horizontal="center"/>
    </xf>
    <xf numFmtId="4" fontId="42" fillId="2" borderId="8" xfId="0" applyNumberFormat="1" applyFont="1" applyFill="1" applyBorder="1" applyAlignment="1">
      <alignment horizontal="right"/>
    </xf>
    <xf numFmtId="4" fontId="41" fillId="2" borderId="0" xfId="0" applyNumberFormat="1" applyFont="1" applyFill="1" applyAlignment="1">
      <alignment horizontal="center"/>
    </xf>
    <xf numFmtId="4" fontId="42" fillId="2" borderId="0" xfId="0" applyNumberFormat="1" applyFont="1" applyFill="1" applyAlignment="1">
      <alignment horizontal="center"/>
    </xf>
    <xf numFmtId="4" fontId="75" fillId="2" borderId="0" xfId="0" applyNumberFormat="1" applyFont="1" applyFill="1" applyAlignment="1">
      <alignment horizontal="left"/>
    </xf>
    <xf numFmtId="4" fontId="33" fillId="12" borderId="54" xfId="0" applyNumberFormat="1" applyFont="1" applyFill="1" applyBorder="1" applyAlignment="1" applyProtection="1">
      <alignment horizontal="left"/>
      <protection locked="0"/>
    </xf>
    <xf numFmtId="0" fontId="41" fillId="5" borderId="25" xfId="0" applyFont="1" applyFill="1" applyBorder="1" applyAlignment="1" applyProtection="1">
      <alignment horizontal="left"/>
      <protection locked="0"/>
    </xf>
    <xf numFmtId="0" fontId="41" fillId="5" borderId="22" xfId="0" applyFont="1" applyFill="1" applyBorder="1" applyAlignment="1" applyProtection="1">
      <alignment horizontal="left"/>
      <protection locked="0"/>
    </xf>
    <xf numFmtId="0" fontId="41" fillId="5" borderId="23" xfId="0" applyFont="1" applyFill="1" applyBorder="1" applyProtection="1">
      <protection locked="0"/>
    </xf>
    <xf numFmtId="0" fontId="41" fillId="5" borderId="24" xfId="0" applyFont="1" applyFill="1" applyBorder="1" applyProtection="1">
      <protection locked="0"/>
    </xf>
    <xf numFmtId="0" fontId="41" fillId="5" borderId="25" xfId="0" applyFont="1" applyFill="1" applyBorder="1" applyProtection="1">
      <protection locked="0"/>
    </xf>
    <xf numFmtId="0" fontId="59" fillId="5" borderId="21" xfId="0" applyFont="1" applyFill="1" applyBorder="1" applyProtection="1">
      <protection locked="0"/>
    </xf>
    <xf numFmtId="0" fontId="41" fillId="5" borderId="21" xfId="0" applyFont="1" applyFill="1" applyBorder="1" applyProtection="1">
      <protection locked="0"/>
    </xf>
    <xf numFmtId="0" fontId="41" fillId="0" borderId="21" xfId="0" applyFont="1" applyBorder="1" applyProtection="1">
      <protection locked="0"/>
    </xf>
    <xf numFmtId="0" fontId="41" fillId="0" borderId="0" xfId="0" applyFont="1" applyProtection="1">
      <protection locked="0"/>
    </xf>
    <xf numFmtId="0" fontId="41" fillId="0" borderId="22" xfId="0" applyFont="1" applyBorder="1" applyProtection="1">
      <protection locked="0"/>
    </xf>
    <xf numFmtId="0" fontId="33" fillId="0" borderId="21" xfId="0" applyFont="1" applyBorder="1" applyAlignment="1" applyProtection="1">
      <alignment vertical="center"/>
      <protection locked="0"/>
    </xf>
    <xf numFmtId="0" fontId="31" fillId="0" borderId="0" xfId="0" applyFont="1" applyProtection="1">
      <protection locked="0"/>
    </xf>
    <xf numFmtId="0" fontId="33" fillId="0" borderId="0" xfId="0" applyFont="1" applyAlignment="1" applyProtection="1">
      <alignment vertical="center"/>
      <protection locked="0"/>
    </xf>
    <xf numFmtId="0" fontId="33" fillId="0" borderId="22" xfId="0" applyFont="1" applyBorder="1" applyAlignment="1" applyProtection="1">
      <alignment vertical="center"/>
      <protection locked="0"/>
    </xf>
    <xf numFmtId="0" fontId="42" fillId="0" borderId="21" xfId="0" applyFont="1" applyBorder="1" applyProtection="1">
      <protection locked="0"/>
    </xf>
    <xf numFmtId="0" fontId="42" fillId="0" borderId="0" xfId="0" applyFont="1" applyProtection="1">
      <protection locked="0"/>
    </xf>
    <xf numFmtId="0" fontId="42" fillId="0" borderId="22" xfId="0" applyFont="1" applyBorder="1" applyProtection="1">
      <protection locked="0"/>
    </xf>
    <xf numFmtId="0" fontId="41" fillId="0" borderId="21" xfId="0" applyFont="1" applyBorder="1" applyAlignment="1" applyProtection="1">
      <alignment vertical="center"/>
      <protection locked="0"/>
    </xf>
    <xf numFmtId="0" fontId="41" fillId="0" borderId="0" xfId="0" applyFont="1" applyAlignment="1" applyProtection="1">
      <alignment vertical="center"/>
      <protection locked="0"/>
    </xf>
    <xf numFmtId="0" fontId="41" fillId="0" borderId="22" xfId="0" applyFont="1" applyBorder="1" applyAlignment="1" applyProtection="1">
      <alignment vertical="center"/>
      <protection locked="0"/>
    </xf>
    <xf numFmtId="0" fontId="41" fillId="0" borderId="26" xfId="0" applyFont="1" applyBorder="1" applyProtection="1">
      <protection locked="0"/>
    </xf>
    <xf numFmtId="0" fontId="41" fillId="0" borderId="27" xfId="0" applyFont="1" applyBorder="1" applyProtection="1">
      <protection locked="0"/>
    </xf>
    <xf numFmtId="0" fontId="41" fillId="0" borderId="28" xfId="0" applyFont="1" applyBorder="1" applyProtection="1">
      <protection locked="0"/>
    </xf>
    <xf numFmtId="0" fontId="76" fillId="0" borderId="0" xfId="0" applyFont="1" applyProtection="1">
      <protection locked="0"/>
    </xf>
    <xf numFmtId="0" fontId="42" fillId="0" borderId="0" xfId="0" applyFont="1" applyAlignment="1" applyProtection="1">
      <alignment vertical="center"/>
      <protection locked="0"/>
    </xf>
    <xf numFmtId="0" fontId="76" fillId="0" borderId="0" xfId="0" applyFont="1" applyAlignment="1" applyProtection="1">
      <alignment vertical="center"/>
      <protection locked="0"/>
    </xf>
    <xf numFmtId="0" fontId="41" fillId="5" borderId="28" xfId="0" applyFont="1" applyFill="1" applyBorder="1" applyAlignment="1" applyProtection="1">
      <alignment horizontal="left"/>
      <protection locked="0"/>
    </xf>
    <xf numFmtId="0" fontId="39" fillId="0" borderId="160" xfId="0" applyFont="1" applyBorder="1" applyProtection="1">
      <protection locked="0"/>
    </xf>
    <xf numFmtId="0" fontId="39" fillId="0" borderId="0" xfId="0" applyFont="1" applyProtection="1">
      <protection locked="0"/>
    </xf>
    <xf numFmtId="0" fontId="39" fillId="0" borderId="161" xfId="0" applyFont="1" applyBorder="1" applyProtection="1">
      <protection locked="0"/>
    </xf>
    <xf numFmtId="0" fontId="39" fillId="0" borderId="160" xfId="0" applyFont="1" applyBorder="1"/>
    <xf numFmtId="0" fontId="77" fillId="0" borderId="160" xfId="0" applyFont="1" applyBorder="1"/>
    <xf numFmtId="0" fontId="39" fillId="0" borderId="162" xfId="0" applyFont="1" applyBorder="1" applyProtection="1">
      <protection locked="0"/>
    </xf>
    <xf numFmtId="0" fontId="39" fillId="0" borderId="163" xfId="0" applyFont="1" applyBorder="1" applyProtection="1">
      <protection locked="0"/>
    </xf>
    <xf numFmtId="0" fontId="39" fillId="0" borderId="164" xfId="0" applyFont="1" applyBorder="1" applyProtection="1">
      <protection locked="0"/>
    </xf>
    <xf numFmtId="0" fontId="33" fillId="0" borderId="21" xfId="0" applyFont="1" applyBorder="1" applyAlignment="1">
      <alignment vertical="center"/>
    </xf>
    <xf numFmtId="0" fontId="33" fillId="0" borderId="0" xfId="0" applyFont="1" applyAlignment="1">
      <alignment vertical="center"/>
    </xf>
    <xf numFmtId="0" fontId="33" fillId="0" borderId="22" xfId="0" applyFont="1" applyBorder="1" applyAlignment="1">
      <alignment vertical="center"/>
    </xf>
    <xf numFmtId="0" fontId="41" fillId="0" borderId="21" xfId="0" applyFont="1" applyBorder="1"/>
    <xf numFmtId="0" fontId="41" fillId="0" borderId="0" xfId="0" applyFont="1"/>
    <xf numFmtId="0" fontId="41" fillId="0" borderId="22" xfId="0" applyFont="1" applyBorder="1"/>
    <xf numFmtId="0" fontId="42" fillId="0" borderId="21" xfId="0" applyFont="1" applyBorder="1"/>
    <xf numFmtId="0" fontId="42" fillId="0" borderId="0" xfId="0" applyFont="1"/>
    <xf numFmtId="0" fontId="42" fillId="0" borderId="22" xfId="0" applyFont="1" applyBorder="1"/>
    <xf numFmtId="0" fontId="41" fillId="0" borderId="21" xfId="0" applyFont="1" applyBorder="1" applyAlignment="1">
      <alignment vertical="center"/>
    </xf>
    <xf numFmtId="0" fontId="41" fillId="0" borderId="0" xfId="0" applyFont="1" applyAlignment="1">
      <alignment vertical="center"/>
    </xf>
    <xf numFmtId="0" fontId="41" fillId="0" borderId="22" xfId="0" applyFont="1" applyBorder="1" applyAlignment="1">
      <alignment vertical="center"/>
    </xf>
    <xf numFmtId="0" fontId="41" fillId="0" borderId="26" xfId="0" applyFont="1" applyBorder="1"/>
    <xf numFmtId="0" fontId="41" fillId="0" borderId="27" xfId="0" applyFont="1" applyBorder="1"/>
    <xf numFmtId="0" fontId="41" fillId="0" borderId="28" xfId="0" applyFont="1" applyBorder="1"/>
    <xf numFmtId="0" fontId="77" fillId="0" borderId="160" xfId="0" applyFont="1" applyBorder="1" applyAlignment="1" applyProtection="1">
      <alignment vertical="center"/>
      <protection locked="0"/>
    </xf>
    <xf numFmtId="4" fontId="41" fillId="0" borderId="21" xfId="0" applyNumberFormat="1" applyFont="1" applyBorder="1"/>
    <xf numFmtId="0" fontId="77" fillId="0" borderId="0" xfId="0" applyFont="1" applyAlignment="1" applyProtection="1">
      <alignment vertical="center"/>
      <protection locked="0"/>
    </xf>
    <xf numFmtId="4" fontId="41" fillId="0" borderId="0" xfId="0" applyNumberFormat="1" applyFont="1" applyProtection="1">
      <protection locked="0"/>
    </xf>
    <xf numFmtId="0" fontId="12" fillId="5" borderId="54" xfId="1" applyFont="1" applyFill="1" applyBorder="1" applyAlignment="1">
      <alignment horizontal="center" vertical="center" wrapText="1"/>
    </xf>
    <xf numFmtId="0" fontId="12" fillId="5" borderId="117" xfId="1" applyFont="1" applyFill="1" applyBorder="1" applyAlignment="1">
      <alignment horizontal="center" vertical="center" wrapText="1"/>
    </xf>
    <xf numFmtId="4" fontId="41" fillId="0" borderId="21" xfId="0" applyNumberFormat="1" applyFont="1" applyBorder="1" applyAlignment="1" applyProtection="1">
      <alignment vertical="center"/>
      <protection locked="0"/>
    </xf>
    <xf numFmtId="4" fontId="41" fillId="0" borderId="0" xfId="0" applyNumberFormat="1" applyFont="1" applyAlignment="1" applyProtection="1">
      <alignment vertical="center"/>
      <protection locked="0"/>
    </xf>
    <xf numFmtId="0" fontId="36" fillId="0" borderId="21" xfId="0" applyFont="1" applyBorder="1" applyProtection="1">
      <protection locked="0"/>
    </xf>
    <xf numFmtId="0" fontId="36" fillId="0" borderId="0" xfId="0" applyFont="1" applyProtection="1">
      <protection locked="0"/>
    </xf>
    <xf numFmtId="0" fontId="36" fillId="0" borderId="22" xfId="0" applyFont="1" applyBorder="1" applyProtection="1">
      <protection locked="0"/>
    </xf>
    <xf numFmtId="0" fontId="32" fillId="2" borderId="48" xfId="0" applyFont="1" applyFill="1" applyBorder="1" applyAlignment="1">
      <alignment vertical="center"/>
    </xf>
    <xf numFmtId="0" fontId="41" fillId="0" borderId="24" xfId="0" applyFont="1" applyBorder="1" applyAlignment="1" applyProtection="1">
      <alignment horizontal="left"/>
      <protection locked="0"/>
    </xf>
    <xf numFmtId="0" fontId="41" fillId="0" borderId="25" xfId="0" applyFont="1" applyBorder="1" applyAlignment="1" applyProtection="1">
      <alignment horizontal="left"/>
      <protection locked="0"/>
    </xf>
    <xf numFmtId="0" fontId="38" fillId="2" borderId="110" xfId="0" applyFont="1" applyFill="1" applyBorder="1" applyAlignment="1" applyProtection="1">
      <alignment horizontal="center" vertical="center"/>
      <protection locked="0"/>
    </xf>
    <xf numFmtId="0" fontId="38" fillId="2" borderId="52" xfId="0" applyFont="1" applyFill="1" applyBorder="1" applyAlignment="1" applyProtection="1">
      <alignment horizontal="center" vertical="center"/>
      <protection locked="0"/>
    </xf>
    <xf numFmtId="0" fontId="38" fillId="2" borderId="155" xfId="0" applyFont="1" applyFill="1" applyBorder="1" applyAlignment="1" applyProtection="1">
      <alignment horizontal="center" vertical="center"/>
      <protection locked="0"/>
    </xf>
    <xf numFmtId="0" fontId="38" fillId="2" borderId="49" xfId="0" applyFont="1" applyFill="1" applyBorder="1" applyAlignment="1" applyProtection="1">
      <alignment horizontal="center" vertical="center"/>
      <protection locked="0"/>
    </xf>
    <xf numFmtId="0" fontId="38" fillId="2" borderId="113" xfId="0" applyFont="1" applyFill="1" applyBorder="1" applyAlignment="1" applyProtection="1">
      <alignment horizontal="center" vertical="center"/>
      <protection locked="0"/>
    </xf>
    <xf numFmtId="4" fontId="38" fillId="2" borderId="150" xfId="0" applyNumberFormat="1" applyFont="1" applyFill="1" applyBorder="1" applyAlignment="1" applyProtection="1">
      <alignment horizontal="right" vertical="center"/>
      <protection locked="0"/>
    </xf>
    <xf numFmtId="4" fontId="38" fillId="2" borderId="152" xfId="0" applyNumberFormat="1" applyFont="1" applyFill="1" applyBorder="1" applyAlignment="1" applyProtection="1">
      <alignment horizontal="right" vertical="center"/>
      <protection locked="0"/>
    </xf>
    <xf numFmtId="4" fontId="38" fillId="2" borderId="165" xfId="0" applyNumberFormat="1" applyFont="1" applyFill="1" applyBorder="1" applyAlignment="1" applyProtection="1">
      <alignment horizontal="right" vertical="center"/>
      <protection locked="0"/>
    </xf>
    <xf numFmtId="4" fontId="38" fillId="2" borderId="151" xfId="0" applyNumberFormat="1" applyFont="1" applyFill="1" applyBorder="1" applyAlignment="1" applyProtection="1">
      <alignment horizontal="right" vertical="center"/>
      <protection locked="0"/>
    </xf>
    <xf numFmtId="4" fontId="32" fillId="0" borderId="33" xfId="0" applyNumberFormat="1" applyFont="1" applyBorder="1" applyAlignment="1" applyProtection="1">
      <alignment horizontal="left" vertical="center"/>
      <protection locked="0"/>
    </xf>
    <xf numFmtId="0" fontId="31" fillId="2" borderId="21" xfId="0" applyFont="1" applyFill="1" applyBorder="1"/>
    <xf numFmtId="0" fontId="31" fillId="5" borderId="46" xfId="0" applyFont="1" applyFill="1" applyBorder="1" applyAlignment="1">
      <alignment vertical="center"/>
    </xf>
    <xf numFmtId="0" fontId="31" fillId="5" borderId="46" xfId="0" applyFont="1" applyFill="1" applyBorder="1" applyAlignment="1">
      <alignment horizontal="center"/>
    </xf>
    <xf numFmtId="4" fontId="32" fillId="2" borderId="166" xfId="0" applyNumberFormat="1" applyFont="1" applyFill="1" applyBorder="1" applyProtection="1">
      <protection locked="0"/>
    </xf>
    <xf numFmtId="4" fontId="32" fillId="2" borderId="167" xfId="0" applyNumberFormat="1" applyFont="1" applyFill="1" applyBorder="1" applyProtection="1">
      <protection locked="0"/>
    </xf>
    <xf numFmtId="0" fontId="32" fillId="2" borderId="112" xfId="0" applyFont="1" applyFill="1" applyBorder="1" applyAlignment="1">
      <alignment vertical="center"/>
    </xf>
    <xf numFmtId="4" fontId="31" fillId="2" borderId="77" xfId="0" applyNumberFormat="1" applyFont="1" applyFill="1" applyBorder="1" applyAlignment="1" applyProtection="1">
      <alignment horizontal="left"/>
      <protection locked="0"/>
    </xf>
    <xf numFmtId="4" fontId="33" fillId="2" borderId="168" xfId="0" applyNumberFormat="1" applyFont="1" applyFill="1" applyBorder="1" applyProtection="1">
      <protection locked="0"/>
    </xf>
    <xf numFmtId="4" fontId="33" fillId="2" borderId="103" xfId="0" applyNumberFormat="1" applyFont="1" applyFill="1" applyBorder="1" applyProtection="1">
      <protection locked="0"/>
    </xf>
    <xf numFmtId="4" fontId="31" fillId="2" borderId="61" xfId="0" applyNumberFormat="1" applyFont="1" applyFill="1" applyBorder="1" applyAlignment="1">
      <alignment vertical="center"/>
    </xf>
    <xf numFmtId="4" fontId="31" fillId="2" borderId="117" xfId="0" applyNumberFormat="1" applyFont="1" applyFill="1" applyBorder="1" applyAlignment="1">
      <alignment vertical="center"/>
    </xf>
    <xf numFmtId="0" fontId="42" fillId="5" borderId="60" xfId="0" applyFont="1" applyFill="1" applyBorder="1" applyAlignment="1">
      <alignment horizontal="center" vertical="center"/>
    </xf>
    <xf numFmtId="0" fontId="31" fillId="5" borderId="57" xfId="0" quotePrefix="1" applyFont="1" applyFill="1" applyBorder="1" applyAlignment="1">
      <alignment horizontal="center" vertical="center"/>
    </xf>
    <xf numFmtId="0" fontId="42" fillId="5" borderId="57" xfId="0" applyFont="1" applyFill="1" applyBorder="1" applyAlignment="1">
      <alignment horizontal="center" vertical="center"/>
    </xf>
    <xf numFmtId="0" fontId="42" fillId="5" borderId="57" xfId="0" quotePrefix="1" applyFont="1" applyFill="1" applyBorder="1" applyAlignment="1">
      <alignment horizontal="center" vertical="center"/>
    </xf>
    <xf numFmtId="0" fontId="42" fillId="5" borderId="57" xfId="0" applyFont="1" applyFill="1" applyBorder="1" applyAlignment="1">
      <alignment horizontal="center" vertical="center" wrapText="1"/>
    </xf>
    <xf numFmtId="4" fontId="38" fillId="2" borderId="152" xfId="0" applyNumberFormat="1" applyFont="1" applyFill="1" applyBorder="1" applyAlignment="1">
      <alignment vertical="center"/>
    </xf>
    <xf numFmtId="4" fontId="38" fillId="2" borderId="151" xfId="0" applyNumberFormat="1" applyFont="1" applyFill="1" applyBorder="1" applyAlignment="1">
      <alignment vertical="center"/>
    </xf>
    <xf numFmtId="0" fontId="31" fillId="2" borderId="169" xfId="0" applyFont="1" applyFill="1" applyBorder="1" applyAlignment="1">
      <alignment vertical="center"/>
    </xf>
    <xf numFmtId="4" fontId="31" fillId="2" borderId="170" xfId="0" applyNumberFormat="1" applyFont="1" applyFill="1" applyBorder="1" applyAlignment="1">
      <alignment vertical="center"/>
    </xf>
    <xf numFmtId="4" fontId="31" fillId="5" borderId="170" xfId="0" applyNumberFormat="1" applyFont="1" applyFill="1" applyBorder="1" applyAlignment="1">
      <alignment vertical="center"/>
    </xf>
    <xf numFmtId="4" fontId="38" fillId="2" borderId="171" xfId="0" applyNumberFormat="1" applyFont="1" applyFill="1" applyBorder="1" applyAlignment="1">
      <alignment vertical="center"/>
    </xf>
    <xf numFmtId="4" fontId="38" fillId="5" borderId="171" xfId="0" applyNumberFormat="1" applyFont="1" applyFill="1" applyBorder="1" applyAlignment="1">
      <alignment vertical="center"/>
    </xf>
    <xf numFmtId="4" fontId="38" fillId="2" borderId="172" xfId="0" applyNumberFormat="1" applyFont="1" applyFill="1" applyBorder="1" applyAlignment="1">
      <alignment vertical="center"/>
    </xf>
    <xf numFmtId="4" fontId="38" fillId="2" borderId="173" xfId="0" applyNumberFormat="1" applyFont="1" applyFill="1" applyBorder="1" applyAlignment="1">
      <alignment vertical="center"/>
    </xf>
    <xf numFmtId="4" fontId="38" fillId="5" borderId="173" xfId="0" applyNumberFormat="1" applyFont="1" applyFill="1" applyBorder="1" applyAlignment="1">
      <alignment vertical="center"/>
    </xf>
    <xf numFmtId="0" fontId="37" fillId="5" borderId="57" xfId="0" applyFont="1" applyFill="1" applyBorder="1" applyAlignment="1">
      <alignment horizontal="center" vertical="center" wrapText="1"/>
    </xf>
    <xf numFmtId="0" fontId="37" fillId="5" borderId="93" xfId="0" applyFont="1" applyFill="1" applyBorder="1" applyAlignment="1">
      <alignment horizontal="center"/>
    </xf>
    <xf numFmtId="0" fontId="78" fillId="2" borderId="0" xfId="0" applyFont="1" applyFill="1" applyAlignment="1">
      <alignment horizontal="left"/>
    </xf>
    <xf numFmtId="0" fontId="32" fillId="0" borderId="0" xfId="0" applyFont="1"/>
    <xf numFmtId="0" fontId="32" fillId="0" borderId="0" xfId="0" applyFont="1" applyAlignment="1">
      <alignment vertical="center"/>
    </xf>
    <xf numFmtId="0" fontId="41" fillId="2" borderId="2" xfId="0" applyFont="1" applyFill="1" applyBorder="1"/>
    <xf numFmtId="0" fontId="41" fillId="2" borderId="2" xfId="0" applyFont="1" applyFill="1" applyBorder="1" applyAlignment="1">
      <alignment horizontal="center"/>
    </xf>
    <xf numFmtId="0" fontId="33" fillId="2" borderId="174" xfId="0" applyFont="1" applyFill="1" applyBorder="1" applyAlignment="1">
      <alignment horizontal="center"/>
    </xf>
    <xf numFmtId="0" fontId="33" fillId="2" borderId="175" xfId="0" applyFont="1" applyFill="1" applyBorder="1"/>
    <xf numFmtId="4" fontId="33" fillId="5" borderId="168" xfId="0" applyNumberFormat="1" applyFont="1" applyFill="1" applyBorder="1"/>
    <xf numFmtId="4" fontId="33" fillId="2" borderId="168" xfId="0" applyNumberFormat="1" applyFont="1" applyFill="1" applyBorder="1"/>
    <xf numFmtId="4" fontId="41" fillId="2" borderId="2" xfId="0" applyNumberFormat="1" applyFont="1" applyFill="1" applyBorder="1"/>
    <xf numFmtId="4" fontId="41" fillId="2" borderId="3" xfId="0" applyNumberFormat="1" applyFont="1" applyFill="1" applyBorder="1"/>
    <xf numFmtId="0" fontId="32" fillId="2" borderId="33" xfId="0" applyFont="1" applyFill="1" applyBorder="1" applyAlignment="1">
      <alignment vertical="center"/>
    </xf>
    <xf numFmtId="0" fontId="32" fillId="5" borderId="51" xfId="0" applyFont="1" applyFill="1" applyBorder="1" applyAlignment="1">
      <alignment vertical="center"/>
    </xf>
    <xf numFmtId="4" fontId="38" fillId="0" borderId="52" xfId="0" applyNumberFormat="1" applyFont="1" applyBorder="1" applyAlignment="1">
      <alignment horizontal="right" vertical="center"/>
    </xf>
    <xf numFmtId="4" fontId="64" fillId="0" borderId="52" xfId="0" applyNumberFormat="1" applyFont="1" applyBorder="1" applyAlignment="1">
      <alignment horizontal="right" vertical="center"/>
    </xf>
    <xf numFmtId="4" fontId="37" fillId="0" borderId="52" xfId="0" applyNumberFormat="1" applyFont="1" applyBorder="1" applyAlignment="1">
      <alignment horizontal="right" vertical="center"/>
    </xf>
    <xf numFmtId="4" fontId="64" fillId="0" borderId="52" xfId="0" applyNumberFormat="1" applyFont="1" applyBorder="1" applyAlignment="1" applyProtection="1">
      <alignment horizontal="right" vertical="center"/>
      <protection locked="0"/>
    </xf>
    <xf numFmtId="4" fontId="37" fillId="0" borderId="52" xfId="0" applyNumberFormat="1" applyFont="1" applyBorder="1" applyAlignment="1" applyProtection="1">
      <alignment horizontal="right" vertical="center"/>
      <protection locked="0"/>
    </xf>
    <xf numFmtId="4" fontId="25" fillId="0" borderId="52" xfId="0" applyNumberFormat="1" applyFont="1" applyBorder="1" applyAlignment="1">
      <alignment horizontal="right" vertical="center"/>
    </xf>
    <xf numFmtId="4" fontId="75" fillId="0" borderId="0" xfId="0" applyNumberFormat="1" applyFont="1" applyAlignment="1">
      <alignment horizontal="right"/>
    </xf>
    <xf numFmtId="0" fontId="32" fillId="2" borderId="111" xfId="0" applyFont="1" applyFill="1" applyBorder="1" applyAlignment="1">
      <alignment vertical="center"/>
    </xf>
    <xf numFmtId="4" fontId="18" fillId="2" borderId="0" xfId="0" applyNumberFormat="1" applyFont="1" applyFill="1" applyAlignment="1">
      <alignment vertical="center"/>
    </xf>
    <xf numFmtId="0" fontId="18" fillId="0" borderId="0" xfId="0" applyFont="1" applyAlignment="1">
      <alignment vertical="center"/>
    </xf>
    <xf numFmtId="0" fontId="32" fillId="2" borderId="42" xfId="0" applyFont="1" applyFill="1" applyBorder="1" applyAlignment="1">
      <alignment horizontal="left" vertical="center"/>
    </xf>
    <xf numFmtId="0" fontId="32" fillId="2" borderId="43" xfId="0" applyFont="1" applyFill="1" applyBorder="1" applyAlignment="1">
      <alignment horizontal="left" vertical="center"/>
    </xf>
    <xf numFmtId="0" fontId="32" fillId="2" borderId="23" xfId="0" applyFont="1" applyFill="1" applyBorder="1"/>
    <xf numFmtId="0" fontId="32" fillId="2" borderId="24" xfId="0" applyFont="1" applyFill="1" applyBorder="1"/>
    <xf numFmtId="0" fontId="32" fillId="2" borderId="25" xfId="0" applyFont="1" applyFill="1" applyBorder="1"/>
    <xf numFmtId="0" fontId="32" fillId="2" borderId="21" xfId="0" applyFont="1" applyFill="1" applyBorder="1"/>
    <xf numFmtId="0" fontId="32" fillId="2" borderId="22" xfId="0" applyFont="1" applyFill="1" applyBorder="1"/>
    <xf numFmtId="0" fontId="32" fillId="2" borderId="0" xfId="0" applyFont="1" applyFill="1" applyAlignment="1">
      <alignment horizontal="center"/>
    </xf>
    <xf numFmtId="0" fontId="32" fillId="2" borderId="0" xfId="0" applyFont="1" applyFill="1" applyAlignment="1">
      <alignment horizontal="left"/>
    </xf>
    <xf numFmtId="0" fontId="32" fillId="2" borderId="72" xfId="0" applyFont="1" applyFill="1" applyBorder="1" applyAlignment="1">
      <alignment horizontal="left"/>
    </xf>
    <xf numFmtId="0" fontId="32" fillId="2" borderId="26" xfId="0" applyFont="1" applyFill="1" applyBorder="1"/>
    <xf numFmtId="0" fontId="32" fillId="2" borderId="27" xfId="0" applyFont="1" applyFill="1" applyBorder="1"/>
    <xf numFmtId="0" fontId="32" fillId="2" borderId="28" xfId="0" applyFont="1" applyFill="1" applyBorder="1"/>
    <xf numFmtId="0" fontId="32" fillId="2" borderId="51" xfId="0" applyFont="1" applyFill="1" applyBorder="1" applyAlignment="1">
      <alignment horizontal="center" vertical="center"/>
    </xf>
    <xf numFmtId="0" fontId="57" fillId="2" borderId="47" xfId="0" applyFont="1" applyFill="1" applyBorder="1" applyAlignment="1">
      <alignment vertical="center"/>
    </xf>
    <xf numFmtId="0" fontId="57" fillId="5" borderId="47" xfId="0" applyFont="1" applyFill="1" applyBorder="1" applyAlignment="1">
      <alignment vertical="center"/>
    </xf>
    <xf numFmtId="0" fontId="32" fillId="5" borderId="135" xfId="0" applyFont="1" applyFill="1" applyBorder="1" applyAlignment="1">
      <alignment vertical="center"/>
    </xf>
    <xf numFmtId="0" fontId="32" fillId="5" borderId="33" xfId="0" applyFont="1" applyFill="1" applyBorder="1" applyAlignment="1">
      <alignment vertical="center"/>
    </xf>
    <xf numFmtId="0" fontId="32" fillId="5" borderId="48" xfId="0" applyFont="1" applyFill="1" applyBorder="1" applyAlignment="1">
      <alignment vertical="center"/>
    </xf>
    <xf numFmtId="0" fontId="32" fillId="5" borderId="54" xfId="0" applyFont="1" applyFill="1" applyBorder="1" applyAlignment="1">
      <alignment vertical="center"/>
    </xf>
    <xf numFmtId="164" fontId="32" fillId="2" borderId="27" xfId="0" applyNumberFormat="1" applyFont="1" applyFill="1" applyBorder="1" applyAlignment="1">
      <alignment horizontal="center"/>
    </xf>
    <xf numFmtId="164" fontId="32" fillId="2" borderId="0" xfId="0" applyNumberFormat="1" applyFont="1" applyFill="1" applyAlignment="1">
      <alignment horizontal="center"/>
    </xf>
    <xf numFmtId="0" fontId="32" fillId="0" borderId="0" xfId="0" applyFont="1" applyAlignment="1" applyProtection="1">
      <alignment horizontal="left"/>
      <protection locked="0"/>
    </xf>
    <xf numFmtId="0" fontId="32" fillId="0" borderId="22" xfId="0" applyFont="1" applyBorder="1" applyAlignment="1" applyProtection="1">
      <alignment horizontal="left"/>
      <protection locked="0"/>
    </xf>
    <xf numFmtId="0" fontId="32" fillId="2" borderId="4" xfId="0" applyFont="1" applyFill="1" applyBorder="1"/>
    <xf numFmtId="0" fontId="32" fillId="2" borderId="176" xfId="0" applyFont="1" applyFill="1" applyBorder="1" applyAlignment="1">
      <alignment horizontal="center"/>
    </xf>
    <xf numFmtId="0" fontId="32" fillId="2" borderId="177" xfId="0" applyFont="1" applyFill="1" applyBorder="1" applyAlignment="1">
      <alignment horizontal="center"/>
    </xf>
    <xf numFmtId="4" fontId="32" fillId="2" borderId="166" xfId="0" applyNumberFormat="1" applyFont="1" applyFill="1" applyBorder="1"/>
    <xf numFmtId="0" fontId="32" fillId="2" borderId="178" xfId="0" applyFont="1" applyFill="1" applyBorder="1" applyAlignment="1">
      <alignment horizontal="center"/>
    </xf>
    <xf numFmtId="0" fontId="32" fillId="2" borderId="179" xfId="0" applyFont="1" applyFill="1" applyBorder="1"/>
    <xf numFmtId="4" fontId="32" fillId="2" borderId="180" xfId="0" applyNumberFormat="1" applyFont="1" applyFill="1" applyBorder="1"/>
    <xf numFmtId="4" fontId="32" fillId="2" borderId="180" xfId="0" applyNumberFormat="1" applyFont="1" applyFill="1" applyBorder="1" applyProtection="1">
      <protection locked="0"/>
    </xf>
    <xf numFmtId="2" fontId="32" fillId="2" borderId="181" xfId="0" applyNumberFormat="1" applyFont="1" applyFill="1" applyBorder="1" applyAlignment="1">
      <alignment horizontal="center"/>
    </xf>
    <xf numFmtId="2" fontId="32" fillId="2" borderId="182" xfId="0" applyNumberFormat="1" applyFont="1" applyFill="1" applyBorder="1"/>
    <xf numFmtId="0" fontId="32" fillId="2" borderId="67" xfId="0" applyFont="1" applyFill="1" applyBorder="1" applyAlignment="1">
      <alignment horizontal="center"/>
    </xf>
    <xf numFmtId="0" fontId="32" fillId="2" borderId="22" xfId="0" applyFont="1" applyFill="1" applyBorder="1" applyAlignment="1">
      <alignment horizontal="left"/>
    </xf>
    <xf numFmtId="0" fontId="32" fillId="2" borderId="21" xfId="0" applyFont="1" applyFill="1" applyBorder="1" applyAlignment="1">
      <alignment horizontal="left"/>
    </xf>
    <xf numFmtId="0" fontId="32" fillId="2" borderId="0" xfId="0" applyFont="1" applyFill="1" applyAlignment="1">
      <alignment horizontal="center" vertical="center"/>
    </xf>
    <xf numFmtId="4" fontId="32" fillId="2" borderId="47" xfId="0" applyNumberFormat="1" applyFont="1" applyFill="1" applyBorder="1" applyAlignment="1" applyProtection="1">
      <alignment vertical="center"/>
      <protection locked="0"/>
    </xf>
    <xf numFmtId="0" fontId="32" fillId="2" borderId="47" xfId="0" applyFont="1" applyFill="1" applyBorder="1" applyAlignment="1" applyProtection="1">
      <alignment horizontal="left" vertical="center"/>
      <protection locked="0"/>
    </xf>
    <xf numFmtId="0" fontId="32" fillId="2" borderId="111" xfId="0" applyFont="1" applyFill="1" applyBorder="1" applyAlignment="1" applyProtection="1">
      <alignment vertical="center"/>
      <protection locked="0"/>
    </xf>
    <xf numFmtId="0" fontId="32" fillId="2" borderId="49" xfId="0" applyFont="1" applyFill="1" applyBorder="1" applyAlignment="1" applyProtection="1">
      <alignment vertical="center"/>
      <protection locked="0"/>
    </xf>
    <xf numFmtId="4" fontId="32" fillId="2" borderId="48" xfId="0" applyNumberFormat="1" applyFont="1" applyFill="1" applyBorder="1" applyAlignment="1" applyProtection="1">
      <alignment vertical="center"/>
      <protection locked="0"/>
    </xf>
    <xf numFmtId="0" fontId="32" fillId="2" borderId="48" xfId="0" applyFont="1" applyFill="1" applyBorder="1" applyAlignment="1" applyProtection="1">
      <alignment horizontal="left" vertical="center"/>
      <protection locked="0"/>
    </xf>
    <xf numFmtId="4" fontId="32" fillId="2" borderId="45" xfId="0" applyNumberFormat="1" applyFont="1" applyFill="1" applyBorder="1" applyAlignment="1" applyProtection="1">
      <alignment vertical="center"/>
      <protection locked="0"/>
    </xf>
    <xf numFmtId="0" fontId="32" fillId="2" borderId="157" xfId="0" applyFont="1" applyFill="1" applyBorder="1" applyAlignment="1">
      <alignment vertical="center"/>
    </xf>
    <xf numFmtId="4" fontId="32" fillId="2" borderId="47" xfId="0" applyNumberFormat="1" applyFont="1" applyFill="1" applyBorder="1" applyAlignment="1" applyProtection="1">
      <alignment horizontal="right" vertical="center"/>
      <protection locked="0"/>
    </xf>
    <xf numFmtId="0" fontId="32" fillId="2" borderId="113" xfId="0" applyFont="1" applyFill="1" applyBorder="1" applyAlignment="1">
      <alignment vertical="center"/>
    </xf>
    <xf numFmtId="4" fontId="32" fillId="2" borderId="48" xfId="0" applyNumberFormat="1" applyFont="1" applyFill="1" applyBorder="1" applyAlignment="1" applyProtection="1">
      <alignment horizontal="right" vertical="center"/>
      <protection locked="0"/>
    </xf>
    <xf numFmtId="4" fontId="32" fillId="2" borderId="49" xfId="0" applyNumberFormat="1" applyFont="1" applyFill="1" applyBorder="1" applyAlignment="1" applyProtection="1">
      <alignment horizontal="left" vertical="center"/>
      <protection locked="0"/>
    </xf>
    <xf numFmtId="0" fontId="32" fillId="2" borderId="109" xfId="0" applyFont="1" applyFill="1" applyBorder="1" applyAlignment="1">
      <alignment vertical="center"/>
    </xf>
    <xf numFmtId="0" fontId="32" fillId="2" borderId="110" xfId="0" applyFont="1" applyFill="1" applyBorder="1" applyAlignment="1">
      <alignment vertical="center"/>
    </xf>
    <xf numFmtId="4" fontId="32" fillId="2" borderId="45" xfId="0" applyNumberFormat="1" applyFont="1" applyFill="1" applyBorder="1" applyAlignment="1" applyProtection="1">
      <alignment horizontal="right" vertical="center"/>
      <protection locked="0"/>
    </xf>
    <xf numFmtId="4" fontId="32" fillId="2" borderId="110" xfId="0" applyNumberFormat="1" applyFont="1" applyFill="1" applyBorder="1" applyAlignment="1" applyProtection="1">
      <alignment horizontal="left" vertical="center"/>
      <protection locked="0"/>
    </xf>
    <xf numFmtId="0" fontId="32" fillId="2" borderId="49" xfId="0" applyFont="1" applyFill="1" applyBorder="1" applyAlignment="1">
      <alignment vertical="center"/>
    </xf>
    <xf numFmtId="0" fontId="32" fillId="2" borderId="123" xfId="0" applyFont="1" applyFill="1" applyBorder="1" applyAlignment="1">
      <alignment vertical="center"/>
    </xf>
    <xf numFmtId="0" fontId="32" fillId="2" borderId="52" xfId="0" applyFont="1" applyFill="1" applyBorder="1" applyAlignment="1">
      <alignment vertical="center"/>
    </xf>
    <xf numFmtId="4" fontId="32" fillId="2" borderId="51" xfId="0" applyNumberFormat="1" applyFont="1" applyFill="1" applyBorder="1" applyAlignment="1" applyProtection="1">
      <alignment vertical="center"/>
      <protection locked="0"/>
    </xf>
    <xf numFmtId="0" fontId="32" fillId="2" borderId="183" xfId="0" applyFont="1" applyFill="1" applyBorder="1" applyAlignment="1">
      <alignment vertical="center"/>
    </xf>
    <xf numFmtId="0" fontId="32" fillId="2" borderId="184" xfId="0" applyFont="1" applyFill="1" applyBorder="1" applyAlignment="1">
      <alignment vertical="center"/>
    </xf>
    <xf numFmtId="4" fontId="32" fillId="2" borderId="135" xfId="0" applyNumberFormat="1" applyFont="1" applyFill="1" applyBorder="1" applyAlignment="1" applyProtection="1">
      <alignment vertical="center"/>
      <protection locked="0"/>
    </xf>
    <xf numFmtId="0" fontId="32" fillId="2" borderId="185" xfId="0" applyFont="1" applyFill="1" applyBorder="1" applyAlignment="1">
      <alignment horizontal="left" vertical="center"/>
    </xf>
    <xf numFmtId="0" fontId="32" fillId="2" borderId="110" xfId="0" applyFont="1" applyFill="1" applyBorder="1" applyAlignment="1">
      <alignment horizontal="left" vertical="center"/>
    </xf>
    <xf numFmtId="4" fontId="32" fillId="2" borderId="51" xfId="0" applyNumberFormat="1" applyFont="1" applyFill="1" applyBorder="1" applyAlignment="1">
      <alignment vertical="center"/>
    </xf>
    <xf numFmtId="0" fontId="32" fillId="2" borderId="115" xfId="0" applyFont="1" applyFill="1" applyBorder="1" applyAlignment="1">
      <alignment horizontal="left" vertical="center"/>
    </xf>
    <xf numFmtId="4" fontId="32" fillId="2" borderId="47" xfId="0" applyNumberFormat="1" applyFont="1" applyFill="1" applyBorder="1" applyAlignment="1">
      <alignment vertical="center"/>
    </xf>
    <xf numFmtId="4" fontId="32" fillId="2" borderId="0" xfId="0" applyNumberFormat="1" applyFont="1" applyFill="1" applyAlignment="1" applyProtection="1">
      <alignment vertical="center"/>
      <protection locked="0"/>
    </xf>
    <xf numFmtId="4" fontId="32" fillId="2" borderId="0" xfId="0" applyNumberFormat="1" applyFont="1" applyFill="1" applyAlignment="1" applyProtection="1">
      <alignment horizontal="left" vertical="center"/>
      <protection locked="0"/>
    </xf>
    <xf numFmtId="4" fontId="32" fillId="2" borderId="130" xfId="0" applyNumberFormat="1" applyFont="1" applyFill="1" applyBorder="1" applyProtection="1">
      <protection locked="0"/>
    </xf>
    <xf numFmtId="4" fontId="32" fillId="2" borderId="186" xfId="0" applyNumberFormat="1" applyFont="1" applyFill="1" applyBorder="1" applyProtection="1">
      <protection locked="0"/>
    </xf>
    <xf numFmtId="4" fontId="32" fillId="2" borderId="187" xfId="0" applyNumberFormat="1" applyFont="1" applyFill="1" applyBorder="1" applyProtection="1">
      <protection locked="0"/>
    </xf>
    <xf numFmtId="4" fontId="32" fillId="2" borderId="131" xfId="0" applyNumberFormat="1" applyFont="1" applyFill="1" applyBorder="1" applyProtection="1">
      <protection locked="0"/>
    </xf>
    <xf numFmtId="4" fontId="32" fillId="2" borderId="188" xfId="0" applyNumberFormat="1" applyFont="1" applyFill="1" applyBorder="1" applyProtection="1">
      <protection locked="0"/>
    </xf>
    <xf numFmtId="4" fontId="32" fillId="2" borderId="189" xfId="0" applyNumberFormat="1" applyFont="1" applyFill="1" applyBorder="1" applyProtection="1">
      <protection locked="0"/>
    </xf>
    <xf numFmtId="4" fontId="32" fillId="2" borderId="131" xfId="0" applyNumberFormat="1" applyFont="1" applyFill="1" applyBorder="1"/>
    <xf numFmtId="4" fontId="32" fillId="2" borderId="188" xfId="0" applyNumberFormat="1" applyFont="1" applyFill="1" applyBorder="1"/>
    <xf numFmtId="4" fontId="32" fillId="2" borderId="189" xfId="0" applyNumberFormat="1" applyFont="1" applyFill="1" applyBorder="1"/>
    <xf numFmtId="0" fontId="32" fillId="2" borderId="190" xfId="0" applyFont="1" applyFill="1" applyBorder="1" applyAlignment="1">
      <alignment horizontal="center"/>
    </xf>
    <xf numFmtId="0" fontId="32" fillId="2" borderId="191" xfId="0" applyFont="1" applyFill="1" applyBorder="1"/>
    <xf numFmtId="4" fontId="32" fillId="2" borderId="192" xfId="0" applyNumberFormat="1" applyFont="1" applyFill="1" applyBorder="1" applyProtection="1">
      <protection locked="0"/>
    </xf>
    <xf numFmtId="4" fontId="32" fillId="2" borderId="193" xfId="0" applyNumberFormat="1" applyFont="1" applyFill="1" applyBorder="1" applyProtection="1">
      <protection locked="0"/>
    </xf>
    <xf numFmtId="4" fontId="32" fillId="2" borderId="194" xfId="0" applyNumberFormat="1" applyFont="1" applyFill="1" applyBorder="1" applyProtection="1">
      <protection locked="0"/>
    </xf>
    <xf numFmtId="0" fontId="32" fillId="2" borderId="36" xfId="0" applyFont="1" applyFill="1" applyBorder="1"/>
    <xf numFmtId="0" fontId="32" fillId="2" borderId="195" xfId="0" applyFont="1" applyFill="1" applyBorder="1" applyAlignment="1">
      <alignment horizontal="center"/>
    </xf>
    <xf numFmtId="4" fontId="32" fillId="2" borderId="196" xfId="0" applyNumberFormat="1" applyFont="1" applyFill="1" applyBorder="1" applyProtection="1">
      <protection locked="0"/>
    </xf>
    <xf numFmtId="0" fontId="32" fillId="2" borderId="197" xfId="0" applyFont="1" applyFill="1" applyBorder="1" applyAlignment="1">
      <alignment horizontal="center"/>
    </xf>
    <xf numFmtId="4" fontId="32" fillId="2" borderId="198" xfId="0" applyNumberFormat="1" applyFont="1" applyFill="1" applyBorder="1" applyProtection="1">
      <protection locked="0"/>
    </xf>
    <xf numFmtId="0" fontId="32" fillId="2" borderId="36" xfId="0" applyFont="1" applyFill="1" applyBorder="1" applyAlignment="1">
      <alignment horizontal="center"/>
    </xf>
    <xf numFmtId="4" fontId="32" fillId="2" borderId="167" xfId="0" applyNumberFormat="1" applyFont="1" applyFill="1" applyBorder="1"/>
    <xf numFmtId="4" fontId="32" fillId="2" borderId="198" xfId="0" applyNumberFormat="1" applyFont="1" applyFill="1" applyBorder="1"/>
    <xf numFmtId="10" fontId="32" fillId="2" borderId="195" xfId="0" applyNumberFormat="1" applyFont="1" applyFill="1" applyBorder="1" applyAlignment="1">
      <alignment horizontal="center"/>
    </xf>
    <xf numFmtId="4" fontId="32" fillId="5" borderId="166" xfId="0" applyNumberFormat="1" applyFont="1" applyFill="1" applyBorder="1"/>
    <xf numFmtId="10" fontId="32" fillId="2" borderId="36" xfId="0" applyNumberFormat="1" applyFont="1" applyFill="1" applyBorder="1" applyAlignment="1">
      <alignment horizontal="center"/>
    </xf>
    <xf numFmtId="4" fontId="32" fillId="5" borderId="33" xfId="0" applyNumberFormat="1" applyFont="1" applyFill="1" applyBorder="1"/>
    <xf numFmtId="4" fontId="32" fillId="2" borderId="33" xfId="0" applyNumberFormat="1" applyFont="1" applyFill="1" applyBorder="1"/>
    <xf numFmtId="10" fontId="32" fillId="2" borderId="199" xfId="0" applyNumberFormat="1" applyFont="1" applyFill="1" applyBorder="1" applyAlignment="1">
      <alignment horizontal="center"/>
    </xf>
    <xf numFmtId="0" fontId="32" fillId="2" borderId="200" xfId="0" applyFont="1" applyFill="1" applyBorder="1"/>
    <xf numFmtId="4" fontId="32" fillId="5" borderId="201" xfId="0" applyNumberFormat="1" applyFont="1" applyFill="1" applyBorder="1"/>
    <xf numFmtId="4" fontId="32" fillId="2" borderId="201" xfId="0" applyNumberFormat="1" applyFont="1" applyFill="1" applyBorder="1"/>
    <xf numFmtId="0" fontId="32" fillId="2" borderId="96" xfId="0" applyFont="1" applyFill="1" applyBorder="1"/>
    <xf numFmtId="4" fontId="32" fillId="2" borderId="202" xfId="0" applyNumberFormat="1" applyFont="1" applyFill="1" applyBorder="1" applyProtection="1">
      <protection locked="0"/>
    </xf>
    <xf numFmtId="4" fontId="32" fillId="2" borderId="202" xfId="0" applyNumberFormat="1" applyFont="1" applyFill="1" applyBorder="1"/>
    <xf numFmtId="4" fontId="32" fillId="2" borderId="203" xfId="0" applyNumberFormat="1" applyFont="1" applyFill="1" applyBorder="1"/>
    <xf numFmtId="0" fontId="32" fillId="2" borderId="130" xfId="0" applyFont="1" applyFill="1" applyBorder="1" applyAlignment="1" applyProtection="1">
      <alignment horizontal="center" vertical="center"/>
      <protection locked="0"/>
    </xf>
    <xf numFmtId="3" fontId="32" fillId="2" borderId="130" xfId="0" applyNumberFormat="1" applyFont="1" applyFill="1" applyBorder="1" applyAlignment="1" applyProtection="1">
      <alignment horizontal="center" vertical="center"/>
      <protection locked="0"/>
    </xf>
    <xf numFmtId="4" fontId="32" fillId="2" borderId="130" xfId="0" applyNumberFormat="1" applyFont="1" applyFill="1" applyBorder="1" applyAlignment="1" applyProtection="1">
      <alignment vertical="center"/>
      <protection locked="0"/>
    </xf>
    <xf numFmtId="0" fontId="32" fillId="2" borderId="131" xfId="0" applyFont="1" applyFill="1" applyBorder="1" applyAlignment="1" applyProtection="1">
      <alignment horizontal="center" vertical="center"/>
      <protection locked="0"/>
    </xf>
    <xf numFmtId="3" fontId="32" fillId="2" borderId="131" xfId="0" applyNumberFormat="1" applyFont="1" applyFill="1" applyBorder="1" applyAlignment="1" applyProtection="1">
      <alignment horizontal="center" vertical="center"/>
      <protection locked="0"/>
    </xf>
    <xf numFmtId="4" fontId="32" fillId="2" borderId="131" xfId="0" applyNumberFormat="1" applyFont="1" applyFill="1" applyBorder="1" applyAlignment="1" applyProtection="1">
      <alignment vertical="center"/>
      <protection locked="0"/>
    </xf>
    <xf numFmtId="0" fontId="32" fillId="2" borderId="0" xfId="0" quotePrefix="1" applyFont="1" applyFill="1" applyAlignment="1">
      <alignment horizontal="left" vertical="center"/>
    </xf>
    <xf numFmtId="3" fontId="32" fillId="2" borderId="0" xfId="0" applyNumberFormat="1" applyFont="1" applyFill="1" applyAlignment="1">
      <alignment horizontal="center" vertical="center"/>
    </xf>
    <xf numFmtId="4" fontId="32" fillId="2" borderId="204" xfId="0" applyNumberFormat="1" applyFont="1" applyFill="1" applyBorder="1" applyAlignment="1" applyProtection="1">
      <alignment vertical="center"/>
      <protection locked="0"/>
    </xf>
    <xf numFmtId="4" fontId="32" fillId="2" borderId="205" xfId="0" applyNumberFormat="1" applyFont="1" applyFill="1" applyBorder="1" applyAlignment="1" applyProtection="1">
      <alignment vertical="center"/>
      <protection locked="0"/>
    </xf>
    <xf numFmtId="4" fontId="32" fillId="2" borderId="206" xfId="0" applyNumberFormat="1" applyFont="1" applyFill="1" applyBorder="1" applyAlignment="1" applyProtection="1">
      <alignment vertical="center"/>
      <protection locked="0"/>
    </xf>
    <xf numFmtId="4" fontId="32" fillId="2" borderId="207" xfId="0" applyNumberFormat="1" applyFont="1" applyFill="1" applyBorder="1" applyAlignment="1" applyProtection="1">
      <alignment vertical="center"/>
      <protection locked="0"/>
    </xf>
    <xf numFmtId="4" fontId="32" fillId="2" borderId="208" xfId="0" applyNumberFormat="1" applyFont="1" applyFill="1" applyBorder="1" applyAlignment="1" applyProtection="1">
      <alignment vertical="center"/>
      <protection locked="0"/>
    </xf>
    <xf numFmtId="0" fontId="32" fillId="2" borderId="209" xfId="0" applyFont="1" applyFill="1" applyBorder="1" applyAlignment="1">
      <alignment horizontal="left" vertical="center"/>
    </xf>
    <xf numFmtId="4" fontId="32" fillId="2" borderId="210" xfId="0" applyNumberFormat="1" applyFont="1" applyFill="1" applyBorder="1" applyAlignment="1" applyProtection="1">
      <alignment vertical="center"/>
      <protection locked="0"/>
    </xf>
    <xf numFmtId="4" fontId="32" fillId="2" borderId="211" xfId="0" applyNumberFormat="1" applyFont="1" applyFill="1" applyBorder="1" applyAlignment="1" applyProtection="1">
      <alignment vertical="center"/>
      <protection locked="0"/>
    </xf>
    <xf numFmtId="4" fontId="32" fillId="2" borderId="46" xfId="0" applyNumberFormat="1" applyFont="1" applyFill="1" applyBorder="1" applyAlignment="1" applyProtection="1">
      <alignment horizontal="right" vertical="center"/>
      <protection locked="0"/>
    </xf>
    <xf numFmtId="4" fontId="32" fillId="2" borderId="70" xfId="0" applyNumberFormat="1" applyFont="1" applyFill="1" applyBorder="1" applyAlignment="1" applyProtection="1">
      <alignment horizontal="right" vertical="center"/>
      <protection locked="0"/>
    </xf>
    <xf numFmtId="4" fontId="32" fillId="2" borderId="68" xfId="0" applyNumberFormat="1" applyFont="1" applyFill="1" applyBorder="1" applyAlignment="1" applyProtection="1">
      <alignment horizontal="right" vertical="center"/>
      <protection locked="0"/>
    </xf>
    <xf numFmtId="4" fontId="32" fillId="2" borderId="69" xfId="0" applyNumberFormat="1" applyFont="1" applyFill="1" applyBorder="1" applyAlignment="1" applyProtection="1">
      <alignment horizontal="right" vertical="center"/>
      <protection locked="0"/>
    </xf>
    <xf numFmtId="4" fontId="32" fillId="2" borderId="44" xfId="0" applyNumberFormat="1" applyFont="1" applyFill="1" applyBorder="1" applyAlignment="1" applyProtection="1">
      <alignment horizontal="left" vertical="center"/>
      <protection locked="0"/>
    </xf>
    <xf numFmtId="0" fontId="57" fillId="2" borderId="51" xfId="0" applyFont="1" applyFill="1" applyBorder="1" applyAlignment="1" applyProtection="1">
      <alignment horizontal="center" vertical="center"/>
      <protection locked="0"/>
    </xf>
    <xf numFmtId="4" fontId="32" fillId="2" borderId="212" xfId="0" applyNumberFormat="1" applyFont="1" applyFill="1" applyBorder="1" applyAlignment="1" applyProtection="1">
      <alignment vertical="center"/>
      <protection locked="0"/>
    </xf>
    <xf numFmtId="10" fontId="32" fillId="2" borderId="52" xfId="2" applyNumberFormat="1" applyFont="1" applyFill="1" applyBorder="1" applyAlignment="1" applyProtection="1">
      <alignment vertical="center"/>
      <protection locked="0"/>
    </xf>
    <xf numFmtId="0" fontId="32" fillId="2" borderId="52" xfId="0" applyFont="1" applyFill="1" applyBorder="1" applyAlignment="1" applyProtection="1">
      <alignment horizontal="left" vertical="center"/>
      <protection locked="0"/>
    </xf>
    <xf numFmtId="0" fontId="57" fillId="2" borderId="47" xfId="0" applyFont="1" applyFill="1" applyBorder="1" applyAlignment="1" applyProtection="1">
      <alignment horizontal="center" vertical="center"/>
      <protection locked="0"/>
    </xf>
    <xf numFmtId="10" fontId="32" fillId="2" borderId="113" xfId="2" applyNumberFormat="1" applyFont="1" applyFill="1" applyBorder="1" applyAlignment="1" applyProtection="1">
      <alignment vertical="center"/>
      <protection locked="0"/>
    </xf>
    <xf numFmtId="0" fontId="32" fillId="2" borderId="113" xfId="0" applyFont="1" applyFill="1" applyBorder="1" applyAlignment="1" applyProtection="1">
      <alignment horizontal="left" vertical="center"/>
      <protection locked="0"/>
    </xf>
    <xf numFmtId="0" fontId="57" fillId="2" borderId="135" xfId="0" applyFont="1" applyFill="1" applyBorder="1" applyAlignment="1" applyProtection="1">
      <alignment horizontal="center" vertical="center"/>
      <protection locked="0"/>
    </xf>
    <xf numFmtId="4" fontId="32" fillId="2" borderId="213" xfId="0" applyNumberFormat="1" applyFont="1" applyFill="1" applyBorder="1" applyAlignment="1" applyProtection="1">
      <alignment vertical="center"/>
      <protection locked="0"/>
    </xf>
    <xf numFmtId="4" fontId="32" fillId="2" borderId="214" xfId="0" applyNumberFormat="1" applyFont="1" applyFill="1" applyBorder="1" applyAlignment="1" applyProtection="1">
      <alignment vertical="center"/>
      <protection locked="0"/>
    </xf>
    <xf numFmtId="10" fontId="32" fillId="2" borderId="184" xfId="2" applyNumberFormat="1" applyFont="1" applyFill="1" applyBorder="1" applyAlignment="1" applyProtection="1">
      <alignment vertical="center"/>
      <protection locked="0"/>
    </xf>
    <xf numFmtId="4" fontId="32" fillId="2" borderId="184" xfId="0" applyNumberFormat="1" applyFont="1" applyFill="1" applyBorder="1" applyAlignment="1" applyProtection="1">
      <alignment vertical="center"/>
      <protection locked="0"/>
    </xf>
    <xf numFmtId="0" fontId="32" fillId="2" borderId="184" xfId="0" applyFont="1" applyFill="1" applyBorder="1" applyAlignment="1" applyProtection="1">
      <alignment horizontal="left" vertical="center"/>
      <protection locked="0"/>
    </xf>
    <xf numFmtId="0" fontId="32" fillId="2" borderId="111" xfId="0" applyFont="1" applyFill="1" applyBorder="1" applyAlignment="1" applyProtection="1">
      <alignment horizontal="left" vertical="center"/>
      <protection locked="0"/>
    </xf>
    <xf numFmtId="0" fontId="32" fillId="2" borderId="49" xfId="0" applyFont="1" applyFill="1" applyBorder="1" applyAlignment="1" applyProtection="1">
      <alignment horizontal="left" vertical="center"/>
      <protection locked="0"/>
    </xf>
    <xf numFmtId="0" fontId="57" fillId="2" borderId="48" xfId="0" applyFont="1" applyFill="1" applyBorder="1" applyAlignment="1" applyProtection="1">
      <alignment horizontal="center" vertical="center"/>
      <protection locked="0"/>
    </xf>
    <xf numFmtId="10" fontId="32" fillId="2" borderId="49" xfId="2" applyNumberFormat="1" applyFont="1" applyFill="1" applyBorder="1" applyAlignment="1" applyProtection="1">
      <alignment vertical="center"/>
      <protection locked="0"/>
    </xf>
    <xf numFmtId="4" fontId="32" fillId="2" borderId="52" xfId="2" applyNumberFormat="1" applyFont="1" applyFill="1" applyBorder="1" applyAlignment="1" applyProtection="1">
      <alignment vertical="center"/>
      <protection locked="0"/>
    </xf>
    <xf numFmtId="4" fontId="32" fillId="2" borderId="113" xfId="2" applyNumberFormat="1" applyFont="1" applyFill="1" applyBorder="1" applyAlignment="1" applyProtection="1">
      <alignment vertical="center"/>
      <protection locked="0"/>
    </xf>
    <xf numFmtId="4" fontId="32" fillId="2" borderId="184" xfId="2" applyNumberFormat="1" applyFont="1" applyFill="1" applyBorder="1" applyAlignment="1" applyProtection="1">
      <alignment vertical="center"/>
      <protection locked="0"/>
    </xf>
    <xf numFmtId="4" fontId="32" fillId="2" borderId="49" xfId="2" applyNumberFormat="1" applyFont="1" applyFill="1" applyBorder="1" applyAlignment="1" applyProtection="1">
      <alignment vertical="center"/>
      <protection locked="0"/>
    </xf>
    <xf numFmtId="0" fontId="32" fillId="2" borderId="21" xfId="0" applyFont="1" applyFill="1" applyBorder="1" applyAlignment="1">
      <alignment horizontal="center" vertical="center"/>
    </xf>
    <xf numFmtId="0" fontId="32" fillId="2" borderId="22" xfId="0" applyFont="1" applyFill="1" applyBorder="1" applyAlignment="1">
      <alignment horizontal="center" vertical="center"/>
    </xf>
    <xf numFmtId="4" fontId="32" fillId="2" borderId="139" xfId="0" applyNumberFormat="1" applyFont="1" applyFill="1" applyBorder="1" applyAlignment="1">
      <alignment vertical="center"/>
    </xf>
    <xf numFmtId="4" fontId="32" fillId="2" borderId="140" xfId="0" applyNumberFormat="1" applyFont="1" applyFill="1" applyBorder="1" applyAlignment="1">
      <alignment vertical="center"/>
    </xf>
    <xf numFmtId="4" fontId="32" fillId="2" borderId="52" xfId="0" applyNumberFormat="1" applyFont="1" applyFill="1" applyBorder="1" applyAlignment="1">
      <alignment vertical="center"/>
    </xf>
    <xf numFmtId="4" fontId="32" fillId="2" borderId="141" xfId="0" applyNumberFormat="1" applyFont="1" applyFill="1" applyBorder="1" applyAlignment="1">
      <alignment vertical="center"/>
    </xf>
    <xf numFmtId="4" fontId="32" fillId="2" borderId="49" xfId="0" applyNumberFormat="1" applyFont="1" applyFill="1" applyBorder="1" applyAlignment="1">
      <alignment vertical="center"/>
    </xf>
    <xf numFmtId="4" fontId="32" fillId="2" borderId="53" xfId="0" applyNumberFormat="1" applyFont="1" applyFill="1" applyBorder="1" applyAlignment="1" applyProtection="1">
      <alignment vertical="center"/>
      <protection locked="0"/>
    </xf>
    <xf numFmtId="4" fontId="32" fillId="2" borderId="117" xfId="0" applyNumberFormat="1" applyFont="1" applyFill="1" applyBorder="1" applyAlignment="1" applyProtection="1">
      <alignment vertical="center"/>
      <protection locked="0"/>
    </xf>
    <xf numFmtId="0" fontId="32" fillId="2" borderId="110" xfId="0" applyFont="1" applyFill="1" applyBorder="1" applyAlignment="1" applyProtection="1">
      <alignment horizontal="center" vertical="center"/>
      <protection locked="0"/>
    </xf>
    <xf numFmtId="0" fontId="32" fillId="2" borderId="52" xfId="0" applyFont="1" applyFill="1" applyBorder="1" applyAlignment="1" applyProtection="1">
      <alignment horizontal="center" vertical="center"/>
      <protection locked="0"/>
    </xf>
    <xf numFmtId="0" fontId="32" fillId="2" borderId="113" xfId="0" applyFont="1" applyFill="1" applyBorder="1" applyAlignment="1" applyProtection="1">
      <alignment horizontal="center" vertical="center"/>
      <protection locked="0"/>
    </xf>
    <xf numFmtId="0" fontId="32" fillId="2" borderId="49" xfId="0" applyFont="1" applyFill="1" applyBorder="1" applyAlignment="1" applyProtection="1">
      <alignment horizontal="center" vertical="center"/>
      <protection locked="0"/>
    </xf>
    <xf numFmtId="4" fontId="57" fillId="2" borderId="144" xfId="0" applyNumberFormat="1" applyFont="1" applyFill="1" applyBorder="1" applyAlignment="1" applyProtection="1">
      <alignment horizontal="right" vertical="center"/>
      <protection locked="0"/>
    </xf>
    <xf numFmtId="4" fontId="57" fillId="2" borderId="45" xfId="0" applyNumberFormat="1" applyFont="1" applyFill="1" applyBorder="1" applyAlignment="1" applyProtection="1">
      <alignment horizontal="right" vertical="center"/>
      <protection locked="0"/>
    </xf>
    <xf numFmtId="4" fontId="57" fillId="2" borderId="206" xfId="0" applyNumberFormat="1" applyFont="1" applyFill="1" applyBorder="1" applyAlignment="1" applyProtection="1">
      <alignment horizontal="right" vertical="center"/>
      <protection locked="0"/>
    </xf>
    <xf numFmtId="4" fontId="57" fillId="2" borderId="47" xfId="0" applyNumberFormat="1" applyFont="1" applyFill="1" applyBorder="1" applyAlignment="1" applyProtection="1">
      <alignment horizontal="right" vertical="center"/>
      <protection locked="0"/>
    </xf>
    <xf numFmtId="0" fontId="32" fillId="2" borderId="115" xfId="0" applyFont="1" applyFill="1" applyBorder="1" applyAlignment="1" applyProtection="1">
      <alignment horizontal="left" vertical="center"/>
      <protection locked="0"/>
    </xf>
    <xf numFmtId="0" fontId="32" fillId="2" borderId="47" xfId="0" applyFont="1" applyFill="1" applyBorder="1" applyAlignment="1" applyProtection="1">
      <alignment horizontal="center" vertical="center"/>
      <protection locked="0"/>
    </xf>
    <xf numFmtId="0" fontId="32" fillId="2" borderId="209" xfId="0" applyFont="1" applyFill="1" applyBorder="1" applyAlignment="1" applyProtection="1">
      <alignment horizontal="left" vertical="center"/>
      <protection locked="0"/>
    </xf>
    <xf numFmtId="0" fontId="32" fillId="2" borderId="48" xfId="0" applyFont="1" applyFill="1" applyBorder="1" applyAlignment="1" applyProtection="1">
      <alignment horizontal="center" vertical="center"/>
      <protection locked="0"/>
    </xf>
    <xf numFmtId="4" fontId="57" fillId="2" borderId="122" xfId="0" applyNumberFormat="1" applyFont="1" applyFill="1" applyBorder="1" applyAlignment="1" applyProtection="1">
      <alignment horizontal="right" vertical="center"/>
      <protection locked="0"/>
    </xf>
    <xf numFmtId="4" fontId="57" fillId="2" borderId="48" xfId="0" applyNumberFormat="1" applyFont="1" applyFill="1" applyBorder="1" applyAlignment="1" applyProtection="1">
      <alignment horizontal="right" vertical="center"/>
      <protection locked="0"/>
    </xf>
    <xf numFmtId="0" fontId="32" fillId="5" borderId="51" xfId="0" applyFont="1" applyFill="1" applyBorder="1" applyAlignment="1">
      <alignment horizontal="left" vertical="center"/>
    </xf>
    <xf numFmtId="4" fontId="32" fillId="2" borderId="52" xfId="0" applyNumberFormat="1" applyFont="1" applyFill="1" applyBorder="1" applyAlignment="1" applyProtection="1">
      <alignment horizontal="right" vertical="center"/>
      <protection locked="0"/>
    </xf>
    <xf numFmtId="0" fontId="32" fillId="5" borderId="47" xfId="0" applyFont="1" applyFill="1" applyBorder="1" applyAlignment="1">
      <alignment horizontal="left" vertical="center"/>
    </xf>
    <xf numFmtId="4" fontId="32" fillId="2" borderId="113" xfId="0" applyNumberFormat="1" applyFont="1" applyFill="1" applyBorder="1" applyAlignment="1" applyProtection="1">
      <alignment horizontal="right" vertical="center"/>
      <protection locked="0"/>
    </xf>
    <xf numFmtId="0" fontId="32" fillId="5" borderId="48" xfId="0" applyFont="1" applyFill="1" applyBorder="1" applyAlignment="1">
      <alignment horizontal="left" vertical="center"/>
    </xf>
    <xf numFmtId="4" fontId="32" fillId="2" borderId="49" xfId="0" applyNumberFormat="1" applyFont="1" applyFill="1" applyBorder="1" applyAlignment="1" applyProtection="1">
      <alignment horizontal="right" vertical="center"/>
      <protection locked="0"/>
    </xf>
    <xf numFmtId="0" fontId="32" fillId="5" borderId="5" xfId="0" applyFont="1" applyFill="1" applyBorder="1" applyAlignment="1">
      <alignment horizontal="center" vertical="center"/>
    </xf>
    <xf numFmtId="4" fontId="32" fillId="2" borderId="215" xfId="0" applyNumberFormat="1" applyFont="1" applyFill="1" applyBorder="1" applyAlignment="1" applyProtection="1">
      <alignment vertical="center"/>
      <protection locked="0"/>
    </xf>
    <xf numFmtId="4" fontId="32" fillId="2" borderId="208" xfId="0" applyNumberFormat="1" applyFont="1" applyFill="1" applyBorder="1" applyAlignment="1" applyProtection="1">
      <alignment horizontal="right" vertical="center"/>
      <protection locked="0"/>
    </xf>
    <xf numFmtId="4" fontId="32" fillId="2" borderId="216" xfId="0" applyNumberFormat="1" applyFont="1" applyFill="1" applyBorder="1" applyAlignment="1" applyProtection="1">
      <alignment vertical="center"/>
      <protection locked="0"/>
    </xf>
    <xf numFmtId="4" fontId="32" fillId="2" borderId="217" xfId="0" applyNumberFormat="1" applyFont="1" applyFill="1" applyBorder="1" applyAlignment="1" applyProtection="1">
      <alignment horizontal="right" vertical="center"/>
      <protection locked="0"/>
    </xf>
    <xf numFmtId="4" fontId="32" fillId="2" borderId="114" xfId="0" applyNumberFormat="1" applyFont="1" applyFill="1" applyBorder="1" applyAlignment="1" applyProtection="1">
      <alignment horizontal="right" vertical="center"/>
      <protection locked="0"/>
    </xf>
    <xf numFmtId="0" fontId="32" fillId="2" borderId="49" xfId="0" applyFont="1" applyFill="1" applyBorder="1" applyAlignment="1">
      <alignment horizontal="left" vertical="center"/>
    </xf>
    <xf numFmtId="4" fontId="32" fillId="2" borderId="209" xfId="0" applyNumberFormat="1" applyFont="1" applyFill="1" applyBorder="1" applyAlignment="1" applyProtection="1">
      <alignment horizontal="right" vertical="center"/>
      <protection locked="0"/>
    </xf>
    <xf numFmtId="0" fontId="32" fillId="2" borderId="53" xfId="0" applyFont="1" applyFill="1" applyBorder="1" applyAlignment="1">
      <alignment horizontal="left"/>
    </xf>
    <xf numFmtId="0" fontId="32" fillId="2" borderId="50" xfId="0" applyFont="1" applyFill="1" applyBorder="1" applyAlignment="1">
      <alignment horizontal="left" vertical="center"/>
    </xf>
    <xf numFmtId="4" fontId="32" fillId="2" borderId="54" xfId="0" applyNumberFormat="1" applyFont="1" applyFill="1" applyBorder="1" applyAlignment="1" applyProtection="1">
      <alignment vertical="center"/>
      <protection locked="0"/>
    </xf>
    <xf numFmtId="0" fontId="32" fillId="2" borderId="109" xfId="0" applyFont="1" applyFill="1" applyBorder="1" applyProtection="1">
      <protection locked="0"/>
    </xf>
    <xf numFmtId="0" fontId="32" fillId="2" borderId="185" xfId="0" applyFont="1" applyFill="1" applyBorder="1" applyProtection="1">
      <protection locked="0"/>
    </xf>
    <xf numFmtId="0" fontId="32" fillId="2" borderId="110" xfId="0" applyFont="1" applyFill="1" applyBorder="1" applyProtection="1">
      <protection locked="0"/>
    </xf>
    <xf numFmtId="0" fontId="32" fillId="2" borderId="112" xfId="0" applyFont="1" applyFill="1" applyBorder="1" applyProtection="1">
      <protection locked="0"/>
    </xf>
    <xf numFmtId="0" fontId="32" fillId="2" borderId="115" xfId="0" applyFont="1" applyFill="1" applyBorder="1" applyProtection="1">
      <protection locked="0"/>
    </xf>
    <xf numFmtId="0" fontId="32" fillId="2" borderId="113" xfId="0" applyFont="1" applyFill="1" applyBorder="1" applyProtection="1">
      <protection locked="0"/>
    </xf>
    <xf numFmtId="0" fontId="32" fillId="2" borderId="111" xfId="0" applyFont="1" applyFill="1" applyBorder="1" applyProtection="1">
      <protection locked="0"/>
    </xf>
    <xf numFmtId="0" fontId="32" fillId="2" borderId="209" xfId="0" applyFont="1" applyFill="1" applyBorder="1" applyProtection="1">
      <protection locked="0"/>
    </xf>
    <xf numFmtId="0" fontId="32" fillId="2" borderId="49" xfId="0" applyFont="1" applyFill="1" applyBorder="1" applyProtection="1">
      <protection locked="0"/>
    </xf>
    <xf numFmtId="0" fontId="32" fillId="2" borderId="0" xfId="0" applyFont="1" applyFill="1" applyProtection="1">
      <protection locked="0"/>
    </xf>
    <xf numFmtId="0" fontId="32" fillId="2" borderId="21" xfId="0" applyFont="1" applyFill="1" applyBorder="1" applyAlignment="1">
      <alignment horizontal="left" vertical="center"/>
    </xf>
    <xf numFmtId="0" fontId="32" fillId="2" borderId="22" xfId="0" applyFont="1" applyFill="1" applyBorder="1" applyAlignment="1">
      <alignment horizontal="left" vertical="center"/>
    </xf>
    <xf numFmtId="165" fontId="32" fillId="2" borderId="208" xfId="0" applyNumberFormat="1" applyFont="1" applyFill="1" applyBorder="1" applyAlignment="1" applyProtection="1">
      <alignment horizontal="right" vertical="center"/>
      <protection locked="0"/>
    </xf>
    <xf numFmtId="165" fontId="32" fillId="2" borderId="211" xfId="0" applyNumberFormat="1" applyFont="1" applyFill="1" applyBorder="1" applyAlignment="1" applyProtection="1">
      <alignment horizontal="right" vertical="center"/>
      <protection locked="0"/>
    </xf>
    <xf numFmtId="4" fontId="32" fillId="0" borderId="51" xfId="0" applyNumberFormat="1" applyFont="1" applyBorder="1" applyAlignment="1" applyProtection="1">
      <alignment vertical="center"/>
      <protection locked="0"/>
    </xf>
    <xf numFmtId="0" fontId="57" fillId="2" borderId="123" xfId="0" applyFont="1" applyFill="1" applyBorder="1" applyAlignment="1">
      <alignment horizontal="left" vertical="center"/>
    </xf>
    <xf numFmtId="4" fontId="32" fillId="2" borderId="48" xfId="0" applyNumberFormat="1" applyFont="1" applyFill="1" applyBorder="1" applyAlignment="1">
      <alignment vertical="center"/>
    </xf>
    <xf numFmtId="4" fontId="32" fillId="0" borderId="51" xfId="0" applyNumberFormat="1" applyFont="1" applyBorder="1" applyAlignment="1">
      <alignment vertical="center"/>
    </xf>
    <xf numFmtId="4" fontId="32" fillId="0" borderId="48" xfId="0" applyNumberFormat="1" applyFont="1" applyBorder="1" applyAlignment="1">
      <alignment vertical="center"/>
    </xf>
    <xf numFmtId="0" fontId="32" fillId="2" borderId="123" xfId="0" applyFont="1" applyFill="1" applyBorder="1" applyAlignment="1">
      <alignment horizontal="center" vertical="center"/>
    </xf>
    <xf numFmtId="10" fontId="32" fillId="2" borderId="52" xfId="0" applyNumberFormat="1" applyFont="1" applyFill="1" applyBorder="1" applyAlignment="1">
      <alignment horizontal="right" vertical="center"/>
    </xf>
    <xf numFmtId="10" fontId="32" fillId="2" borderId="113" xfId="0" applyNumberFormat="1" applyFont="1" applyFill="1" applyBorder="1" applyAlignment="1">
      <alignment horizontal="right" vertical="center"/>
    </xf>
    <xf numFmtId="0" fontId="32" fillId="2" borderId="111" xfId="0" applyFont="1" applyFill="1" applyBorder="1" applyAlignment="1">
      <alignment horizontal="center" vertical="center"/>
    </xf>
    <xf numFmtId="10" fontId="32" fillId="2" borderId="49" xfId="0" applyNumberFormat="1" applyFont="1" applyFill="1" applyBorder="1" applyAlignment="1">
      <alignment horizontal="right" vertical="center"/>
    </xf>
    <xf numFmtId="0" fontId="32" fillId="2" borderId="109" xfId="0" applyFont="1" applyFill="1" applyBorder="1" applyAlignment="1">
      <alignment horizontal="center" vertical="center"/>
    </xf>
    <xf numFmtId="4" fontId="32" fillId="2" borderId="45" xfId="0" applyNumberFormat="1" applyFont="1" applyFill="1" applyBorder="1" applyAlignment="1">
      <alignment vertical="center"/>
    </xf>
    <xf numFmtId="0" fontId="32" fillId="5" borderId="0" xfId="0" applyFont="1" applyFill="1" applyProtection="1">
      <protection locked="0"/>
    </xf>
    <xf numFmtId="0" fontId="32" fillId="5" borderId="0" xfId="0" applyFont="1" applyFill="1" applyAlignment="1" applyProtection="1">
      <alignment vertical="center"/>
      <protection locked="0"/>
    </xf>
    <xf numFmtId="0" fontId="32" fillId="5" borderId="26" xfId="0" applyFont="1" applyFill="1" applyBorder="1" applyProtection="1">
      <protection locked="0"/>
    </xf>
    <xf numFmtId="0" fontId="32" fillId="5" borderId="27" xfId="0" applyFont="1" applyFill="1" applyBorder="1" applyProtection="1">
      <protection locked="0"/>
    </xf>
    <xf numFmtId="0" fontId="31" fillId="5" borderId="67" xfId="0" applyFont="1" applyFill="1" applyBorder="1" applyAlignment="1">
      <alignment horizontal="left"/>
    </xf>
    <xf numFmtId="0" fontId="31" fillId="5" borderId="0" xfId="0" applyFont="1" applyFill="1" applyAlignment="1">
      <alignment horizontal="left"/>
    </xf>
    <xf numFmtId="4" fontId="31" fillId="2" borderId="135" xfId="0" applyNumberFormat="1" applyFont="1" applyFill="1" applyBorder="1" applyAlignment="1" applyProtection="1">
      <alignment vertical="center"/>
      <protection locked="0"/>
    </xf>
    <xf numFmtId="4" fontId="31" fillId="2" borderId="216" xfId="0" applyNumberFormat="1" applyFont="1" applyFill="1" applyBorder="1" applyAlignment="1" applyProtection="1">
      <alignment vertical="center"/>
      <protection locked="0"/>
    </xf>
    <xf numFmtId="4" fontId="31" fillId="2" borderId="214" xfId="0" applyNumberFormat="1" applyFont="1" applyFill="1" applyBorder="1" applyAlignment="1" applyProtection="1">
      <alignment vertical="center"/>
      <protection locked="0"/>
    </xf>
    <xf numFmtId="4" fontId="31" fillId="2" borderId="217" xfId="0" applyNumberFormat="1" applyFont="1" applyFill="1" applyBorder="1" applyAlignment="1" applyProtection="1">
      <alignment horizontal="right" vertical="center"/>
      <protection locked="0"/>
    </xf>
    <xf numFmtId="4" fontId="32" fillId="2" borderId="218" xfId="0" applyNumberFormat="1" applyFont="1" applyFill="1" applyBorder="1" applyAlignment="1" applyProtection="1">
      <alignment vertical="center"/>
      <protection locked="0"/>
    </xf>
    <xf numFmtId="0" fontId="31" fillId="5" borderId="55" xfId="0" applyFont="1" applyFill="1" applyBorder="1" applyAlignment="1">
      <alignment horizontal="left"/>
    </xf>
    <xf numFmtId="0" fontId="31" fillId="5" borderId="71" xfId="0" applyFont="1" applyFill="1" applyBorder="1" applyAlignment="1">
      <alignment horizontal="left"/>
    </xf>
    <xf numFmtId="0" fontId="10" fillId="5" borderId="56" xfId="1" applyFont="1" applyFill="1" applyBorder="1" applyAlignment="1">
      <alignment horizontal="center" wrapText="1"/>
    </xf>
    <xf numFmtId="0" fontId="10" fillId="5" borderId="75" xfId="1" applyFont="1" applyFill="1" applyBorder="1" applyAlignment="1">
      <alignment horizontal="center" wrapText="1"/>
    </xf>
    <xf numFmtId="0" fontId="32" fillId="2" borderId="219" xfId="0" applyFont="1" applyFill="1" applyBorder="1" applyAlignment="1">
      <alignment horizontal="left" vertical="center"/>
    </xf>
    <xf numFmtId="4" fontId="31" fillId="2" borderId="184" xfId="0" applyNumberFormat="1" applyFont="1" applyFill="1" applyBorder="1" applyAlignment="1">
      <alignment horizontal="left" vertical="center"/>
    </xf>
    <xf numFmtId="4" fontId="31" fillId="2" borderId="184" xfId="0" applyNumberFormat="1" applyFont="1" applyFill="1" applyBorder="1" applyAlignment="1">
      <alignment vertical="center"/>
    </xf>
    <xf numFmtId="4" fontId="31" fillId="2" borderId="43" xfId="0" applyNumberFormat="1" applyFont="1" applyFill="1" applyBorder="1" applyAlignment="1">
      <alignment vertical="center"/>
    </xf>
    <xf numFmtId="0" fontId="31" fillId="2" borderId="183" xfId="0" applyFont="1" applyFill="1" applyBorder="1" applyAlignment="1">
      <alignment horizontal="left" vertical="center"/>
    </xf>
    <xf numFmtId="4" fontId="31" fillId="2" borderId="220" xfId="0" applyNumberFormat="1" applyFont="1" applyFill="1" applyBorder="1" applyAlignment="1">
      <alignment vertical="center"/>
    </xf>
    <xf numFmtId="0" fontId="31" fillId="2" borderId="0" xfId="0" applyFont="1" applyFill="1" applyAlignment="1">
      <alignment horizontal="left" vertical="center" wrapText="1"/>
    </xf>
    <xf numFmtId="0" fontId="32" fillId="2" borderId="183" xfId="0" applyFont="1" applyFill="1" applyBorder="1" applyAlignment="1">
      <alignment horizontal="left" vertical="center" indent="1"/>
    </xf>
    <xf numFmtId="0" fontId="31" fillId="2" borderId="219" xfId="0" applyFont="1" applyFill="1" applyBorder="1" applyAlignment="1">
      <alignment horizontal="left" vertical="center"/>
    </xf>
    <xf numFmtId="0" fontId="32" fillId="2" borderId="111" xfId="0" applyFont="1" applyFill="1" applyBorder="1" applyAlignment="1">
      <alignment horizontal="left" vertical="center" indent="1"/>
    </xf>
    <xf numFmtId="0" fontId="32" fillId="2" borderId="219" xfId="0" applyFont="1" applyFill="1" applyBorder="1" applyAlignment="1">
      <alignment horizontal="left" vertical="center" indent="1"/>
    </xf>
    <xf numFmtId="4" fontId="31" fillId="2" borderId="184" xfId="0" applyNumberFormat="1" applyFont="1" applyFill="1" applyBorder="1" applyAlignment="1">
      <alignment horizontal="left" vertical="center" indent="1"/>
    </xf>
    <xf numFmtId="4" fontId="31" fillId="2" borderId="135" xfId="0" applyNumberFormat="1" applyFont="1" applyFill="1" applyBorder="1"/>
    <xf numFmtId="4" fontId="31" fillId="2" borderId="216" xfId="0" applyNumberFormat="1" applyFont="1" applyFill="1" applyBorder="1"/>
    <xf numFmtId="4" fontId="31" fillId="2" borderId="214" xfId="0" applyNumberFormat="1" applyFont="1" applyFill="1" applyBorder="1"/>
    <xf numFmtId="4" fontId="31" fillId="2" borderId="217" xfId="0" applyNumberFormat="1" applyFont="1" applyFill="1" applyBorder="1" applyAlignment="1">
      <alignment horizontal="right"/>
    </xf>
    <xf numFmtId="4" fontId="31" fillId="2" borderId="51" xfId="0" applyNumberFormat="1" applyFont="1" applyFill="1" applyBorder="1"/>
    <xf numFmtId="4" fontId="31" fillId="2" borderId="33" xfId="0" applyNumberFormat="1" applyFont="1" applyFill="1" applyBorder="1" applyAlignment="1" applyProtection="1">
      <alignment vertical="center"/>
      <protection locked="0"/>
    </xf>
    <xf numFmtId="4" fontId="31" fillId="2" borderId="57" xfId="0" applyNumberFormat="1" applyFont="1" applyFill="1" applyBorder="1" applyAlignment="1">
      <alignment vertical="center"/>
    </xf>
    <xf numFmtId="0" fontId="31" fillId="2" borderId="55" xfId="0" applyFont="1" applyFill="1" applyBorder="1" applyAlignment="1">
      <alignment horizontal="left" vertical="center" wrapText="1"/>
    </xf>
    <xf numFmtId="0" fontId="31" fillId="2" borderId="71" xfId="0" applyFont="1" applyFill="1" applyBorder="1" applyAlignment="1">
      <alignment horizontal="left" vertical="center" wrapText="1"/>
    </xf>
    <xf numFmtId="0" fontId="31" fillId="2" borderId="56" xfId="0" applyFont="1" applyFill="1" applyBorder="1" applyAlignment="1">
      <alignment horizontal="left" vertical="center" wrapText="1"/>
    </xf>
    <xf numFmtId="0" fontId="10" fillId="5" borderId="50" xfId="1" applyFont="1" applyFill="1" applyBorder="1" applyAlignment="1">
      <alignment horizontal="left" wrapText="1"/>
    </xf>
    <xf numFmtId="0" fontId="10" fillId="5" borderId="64" xfId="1" applyFont="1" applyFill="1" applyBorder="1" applyAlignment="1">
      <alignment horizontal="left" wrapText="1"/>
    </xf>
    <xf numFmtId="0" fontId="10" fillId="5" borderId="221" xfId="1" applyFont="1" applyFill="1" applyBorder="1" applyAlignment="1">
      <alignment horizontal="center" wrapText="1"/>
    </xf>
    <xf numFmtId="0" fontId="10" fillId="5" borderId="222" xfId="1" applyFont="1" applyFill="1" applyBorder="1" applyAlignment="1">
      <alignment horizontal="center" wrapText="1"/>
    </xf>
    <xf numFmtId="0" fontId="10" fillId="5" borderId="73" xfId="1" applyFont="1" applyFill="1" applyBorder="1" applyAlignment="1">
      <alignment horizontal="center" wrapText="1"/>
    </xf>
    <xf numFmtId="0" fontId="10" fillId="2" borderId="57" xfId="1" applyFont="1" applyFill="1" applyBorder="1" applyAlignment="1">
      <alignment horizontal="center" wrapText="1"/>
    </xf>
    <xf numFmtId="4" fontId="31" fillId="2" borderId="135" xfId="0" applyNumberFormat="1" applyFont="1" applyFill="1" applyBorder="1" applyAlignment="1">
      <alignment vertical="center"/>
    </xf>
    <xf numFmtId="0" fontId="15" fillId="2" borderId="0" xfId="0" applyFont="1" applyFill="1" applyAlignment="1">
      <alignment horizontal="left" vertical="center" wrapText="1"/>
    </xf>
    <xf numFmtId="4" fontId="37" fillId="5" borderId="57" xfId="0" applyNumberFormat="1" applyFont="1" applyFill="1" applyBorder="1" applyAlignment="1">
      <alignment horizontal="center" vertical="center"/>
    </xf>
    <xf numFmtId="4" fontId="37" fillId="5" borderId="54" xfId="0" applyNumberFormat="1" applyFont="1" applyFill="1" applyBorder="1" applyAlignment="1">
      <alignment horizontal="center" vertical="center"/>
    </xf>
    <xf numFmtId="0" fontId="9" fillId="5" borderId="61" xfId="1" applyFont="1" applyFill="1" applyBorder="1" applyAlignment="1">
      <alignment horizontal="center" wrapText="1"/>
    </xf>
    <xf numFmtId="0" fontId="9" fillId="5" borderId="62" xfId="1" applyFont="1" applyFill="1" applyBorder="1" applyAlignment="1">
      <alignment horizontal="center" wrapText="1"/>
    </xf>
    <xf numFmtId="0" fontId="9" fillId="5" borderId="63" xfId="1" applyFont="1" applyFill="1" applyBorder="1" applyAlignment="1">
      <alignment horizontal="center" wrapText="1"/>
    </xf>
    <xf numFmtId="0" fontId="9" fillId="5" borderId="61" xfId="1" applyFont="1" applyFill="1" applyBorder="1" applyAlignment="1">
      <alignment horizontal="center" vertical="center" wrapText="1"/>
    </xf>
    <xf numFmtId="0" fontId="9" fillId="5" borderId="62" xfId="1" applyFont="1" applyFill="1" applyBorder="1" applyAlignment="1">
      <alignment horizontal="center" vertical="center" wrapText="1"/>
    </xf>
    <xf numFmtId="0" fontId="9" fillId="5" borderId="63" xfId="1" applyFont="1" applyFill="1" applyBorder="1" applyAlignment="1">
      <alignment horizontal="center" vertical="center" wrapText="1"/>
    </xf>
    <xf numFmtId="0" fontId="79" fillId="2" borderId="0" xfId="0" applyFont="1" applyFill="1" applyAlignment="1">
      <alignment horizontal="left" vertical="center"/>
    </xf>
    <xf numFmtId="0" fontId="80" fillId="2" borderId="0" xfId="0" applyFont="1" applyFill="1" applyAlignment="1">
      <alignment vertical="center"/>
    </xf>
    <xf numFmtId="0" fontId="80" fillId="2" borderId="0" xfId="0" applyFont="1" applyFill="1" applyAlignment="1">
      <alignment horizontal="left" vertical="center"/>
    </xf>
    <xf numFmtId="1" fontId="33" fillId="5" borderId="50" xfId="0" applyNumberFormat="1" applyFont="1" applyFill="1" applyBorder="1" applyAlignment="1">
      <alignment horizontal="left" vertical="center"/>
    </xf>
    <xf numFmtId="4" fontId="41" fillId="2" borderId="112" xfId="0" applyNumberFormat="1" applyFont="1" applyFill="1" applyBorder="1" applyAlignment="1" applyProtection="1">
      <alignment vertical="center"/>
      <protection locked="0"/>
    </xf>
    <xf numFmtId="4" fontId="41" fillId="2" borderId="110" xfId="0" applyNumberFormat="1" applyFont="1" applyFill="1" applyBorder="1" applyAlignment="1" applyProtection="1">
      <alignment vertical="center"/>
      <protection locked="0"/>
    </xf>
    <xf numFmtId="4" fontId="41" fillId="2" borderId="52" xfId="0" applyNumberFormat="1" applyFont="1" applyFill="1" applyBorder="1" applyAlignment="1" applyProtection="1">
      <alignment vertical="center"/>
      <protection locked="0"/>
    </xf>
    <xf numFmtId="4" fontId="41" fillId="2" borderId="111" xfId="0" applyNumberFormat="1" applyFont="1" applyFill="1" applyBorder="1" applyAlignment="1" applyProtection="1">
      <alignment vertical="center"/>
      <protection locked="0"/>
    </xf>
    <xf numFmtId="4" fontId="41" fillId="2" borderId="49" xfId="0" applyNumberFormat="1" applyFont="1" applyFill="1" applyBorder="1" applyAlignment="1" applyProtection="1">
      <alignment vertical="center"/>
      <protection locked="0"/>
    </xf>
    <xf numFmtId="4" fontId="41" fillId="2" borderId="109" xfId="0" applyNumberFormat="1" applyFont="1" applyFill="1" applyBorder="1" applyAlignment="1" applyProtection="1">
      <alignment vertical="center"/>
      <protection locked="0"/>
    </xf>
    <xf numFmtId="0" fontId="41" fillId="0" borderId="23" xfId="0" applyFont="1" applyBorder="1" applyAlignment="1">
      <alignment horizontal="left"/>
    </xf>
    <xf numFmtId="0" fontId="41" fillId="0" borderId="24" xfId="0" applyFont="1" applyBorder="1" applyAlignment="1">
      <alignment horizontal="left"/>
    </xf>
    <xf numFmtId="0" fontId="33" fillId="0" borderId="21" xfId="0" applyFont="1" applyBorder="1" applyAlignment="1">
      <alignment horizontal="left" vertical="center"/>
    </xf>
    <xf numFmtId="0" fontId="31" fillId="0" borderId="0" xfId="0" applyFont="1" applyAlignment="1">
      <alignment horizontal="left"/>
    </xf>
    <xf numFmtId="0" fontId="33" fillId="0" borderId="0" xfId="0" applyFont="1" applyAlignment="1">
      <alignment horizontal="left" vertical="center"/>
    </xf>
    <xf numFmtId="0" fontId="32" fillId="0" borderId="0" xfId="0" applyFont="1" applyAlignment="1">
      <alignment horizontal="left"/>
    </xf>
    <xf numFmtId="0" fontId="41" fillId="0" borderId="21" xfId="0" applyFont="1" applyBorder="1" applyAlignment="1">
      <alignment horizontal="left"/>
    </xf>
    <xf numFmtId="0" fontId="32" fillId="0" borderId="21" xfId="0" applyFont="1" applyBorder="1" applyAlignment="1">
      <alignment horizontal="left"/>
    </xf>
    <xf numFmtId="0" fontId="81" fillId="0" borderId="0" xfId="0" applyFont="1" applyAlignment="1">
      <alignment horizontal="right"/>
    </xf>
    <xf numFmtId="0" fontId="42" fillId="0" borderId="0" xfId="0" applyFont="1" applyAlignment="1">
      <alignment horizontal="left"/>
    </xf>
    <xf numFmtId="0" fontId="41" fillId="0" borderId="0" xfId="0" applyFont="1" applyAlignment="1">
      <alignment horizontal="left" vertical="center"/>
    </xf>
    <xf numFmtId="0" fontId="41" fillId="0" borderId="21" xfId="0" applyFont="1" applyBorder="1" applyAlignment="1">
      <alignment horizontal="left" vertical="center"/>
    </xf>
    <xf numFmtId="0" fontId="41" fillId="0" borderId="26" xfId="0" applyFont="1" applyBorder="1" applyAlignment="1">
      <alignment horizontal="left"/>
    </xf>
    <xf numFmtId="0" fontId="41" fillId="0" borderId="27" xfId="0" applyFont="1" applyBorder="1" applyAlignment="1">
      <alignment horizontal="left"/>
    </xf>
    <xf numFmtId="3" fontId="41" fillId="2" borderId="0" xfId="0" applyNumberFormat="1" applyFont="1" applyFill="1" applyAlignment="1">
      <alignment horizontal="left" vertical="center"/>
    </xf>
    <xf numFmtId="0" fontId="37" fillId="5" borderId="71" xfId="0" applyFont="1" applyFill="1" applyBorder="1" applyAlignment="1">
      <alignment horizontal="center" vertical="center" wrapText="1"/>
    </xf>
    <xf numFmtId="0" fontId="37" fillId="5" borderId="60" xfId="0" applyFont="1" applyFill="1" applyBorder="1" applyAlignment="1">
      <alignment horizontal="center" vertical="center" wrapText="1"/>
    </xf>
    <xf numFmtId="0" fontId="37" fillId="5" borderId="72" xfId="0" applyFont="1" applyFill="1" applyBorder="1" applyAlignment="1">
      <alignment horizontal="center" vertical="center" wrapText="1"/>
    </xf>
    <xf numFmtId="0" fontId="37" fillId="5" borderId="122" xfId="0" applyFont="1" applyFill="1" applyBorder="1" applyAlignment="1">
      <alignment horizontal="center" vertical="center" wrapText="1"/>
    </xf>
    <xf numFmtId="0" fontId="37" fillId="5" borderId="49" xfId="0" applyFont="1" applyFill="1" applyBorder="1" applyAlignment="1">
      <alignment horizontal="center" vertical="center" wrapText="1"/>
    </xf>
    <xf numFmtId="4" fontId="31" fillId="5" borderId="70" xfId="0" applyNumberFormat="1" applyFont="1" applyFill="1" applyBorder="1" applyAlignment="1">
      <alignment vertical="center"/>
    </xf>
    <xf numFmtId="4" fontId="32" fillId="5" borderId="45" xfId="0" applyNumberFormat="1" applyFont="1" applyFill="1" applyBorder="1" applyAlignment="1">
      <alignment horizontal="right" vertical="center"/>
    </xf>
    <xf numFmtId="4" fontId="32" fillId="5" borderId="51" xfId="0" applyNumberFormat="1" applyFont="1" applyFill="1" applyBorder="1" applyAlignment="1">
      <alignment horizontal="right" vertical="center"/>
    </xf>
    <xf numFmtId="4" fontId="57" fillId="2" borderId="51" xfId="0" applyNumberFormat="1" applyFont="1" applyFill="1" applyBorder="1" applyAlignment="1" applyProtection="1">
      <alignment horizontal="right" vertical="center"/>
      <protection locked="0"/>
    </xf>
    <xf numFmtId="0" fontId="32" fillId="2" borderId="123" xfId="0" applyFont="1" applyFill="1" applyBorder="1" applyAlignment="1" applyProtection="1">
      <alignment horizontal="left" vertical="center"/>
      <protection locked="0"/>
    </xf>
    <xf numFmtId="0" fontId="38" fillId="0" borderId="21" xfId="0" applyFont="1" applyBorder="1"/>
    <xf numFmtId="0" fontId="38" fillId="0" borderId="0" xfId="0" applyFont="1"/>
    <xf numFmtId="0" fontId="38" fillId="0" borderId="22" xfId="0" applyFont="1" applyBorder="1"/>
    <xf numFmtId="4" fontId="32" fillId="2" borderId="51" xfId="0" applyNumberFormat="1" applyFont="1" applyFill="1" applyBorder="1"/>
    <xf numFmtId="4" fontId="32" fillId="2" borderId="134" xfId="0" applyNumberFormat="1" applyFont="1" applyFill="1" applyBorder="1"/>
    <xf numFmtId="0" fontId="32" fillId="2" borderId="134" xfId="0" applyFont="1" applyFill="1" applyBorder="1" applyAlignment="1">
      <alignment vertical="center"/>
    </xf>
    <xf numFmtId="0" fontId="37" fillId="2" borderId="0" xfId="0" applyFont="1" applyFill="1" applyAlignment="1">
      <alignment horizontal="center" wrapText="1"/>
    </xf>
    <xf numFmtId="164" fontId="38" fillId="2" borderId="0" xfId="0" applyNumberFormat="1" applyFont="1" applyFill="1" applyAlignment="1" applyProtection="1">
      <alignment horizontal="center"/>
      <protection locked="0"/>
    </xf>
    <xf numFmtId="0" fontId="81" fillId="2" borderId="0" xfId="0" applyFont="1" applyFill="1" applyAlignment="1">
      <alignment horizontal="right"/>
    </xf>
    <xf numFmtId="0" fontId="82" fillId="2" borderId="0" xfId="0" applyFont="1" applyFill="1"/>
    <xf numFmtId="0" fontId="55" fillId="2" borderId="9" xfId="0" applyFont="1" applyFill="1" applyBorder="1"/>
    <xf numFmtId="0" fontId="55" fillId="2" borderId="10" xfId="0" applyFont="1" applyFill="1" applyBorder="1"/>
    <xf numFmtId="0" fontId="55" fillId="2" borderId="11" xfId="0" applyFont="1" applyFill="1" applyBorder="1"/>
    <xf numFmtId="0" fontId="55" fillId="2" borderId="12" xfId="0" applyFont="1" applyFill="1" applyBorder="1"/>
    <xf numFmtId="0" fontId="55" fillId="2" borderId="13" xfId="0" applyFont="1" applyFill="1" applyBorder="1"/>
    <xf numFmtId="0" fontId="82" fillId="2" borderId="1" xfId="0" applyFont="1" applyFill="1" applyBorder="1" applyAlignment="1">
      <alignment horizontal="center"/>
    </xf>
    <xf numFmtId="0" fontId="82" fillId="2" borderId="14" xfId="0" applyFont="1" applyFill="1" applyBorder="1" applyAlignment="1">
      <alignment horizontal="center"/>
    </xf>
    <xf numFmtId="0" fontId="82" fillId="2" borderId="5" xfId="0" applyFont="1" applyFill="1" applyBorder="1" applyAlignment="1">
      <alignment horizontal="center"/>
    </xf>
    <xf numFmtId="0" fontId="82" fillId="2" borderId="6" xfId="0" applyFont="1" applyFill="1" applyBorder="1" applyAlignment="1">
      <alignment horizontal="center"/>
    </xf>
    <xf numFmtId="0" fontId="82" fillId="2" borderId="15" xfId="0" applyFont="1" applyFill="1" applyBorder="1"/>
    <xf numFmtId="0" fontId="55" fillId="2" borderId="16" xfId="0" applyFont="1" applyFill="1" applyBorder="1"/>
    <xf numFmtId="0" fontId="55" fillId="2" borderId="1" xfId="0" applyFont="1" applyFill="1" applyBorder="1"/>
    <xf numFmtId="0" fontId="55" fillId="2" borderId="17" xfId="0" applyFont="1" applyFill="1" applyBorder="1"/>
    <xf numFmtId="0" fontId="81" fillId="2" borderId="9" xfId="0" applyFont="1" applyFill="1" applyBorder="1" applyAlignment="1">
      <alignment horizontal="center"/>
    </xf>
    <xf numFmtId="0" fontId="81" fillId="2" borderId="10" xfId="0" applyFont="1" applyFill="1" applyBorder="1" applyAlignment="1">
      <alignment horizontal="center"/>
    </xf>
    <xf numFmtId="0" fontId="55" fillId="2" borderId="11" xfId="0" applyFont="1" applyFill="1" applyBorder="1" applyAlignment="1">
      <alignment horizontal="center"/>
    </xf>
    <xf numFmtId="0" fontId="81" fillId="2" borderId="12" xfId="0" applyFont="1" applyFill="1" applyBorder="1" applyAlignment="1">
      <alignment horizontal="center"/>
    </xf>
    <xf numFmtId="0" fontId="81" fillId="2" borderId="0" xfId="0" applyFont="1" applyFill="1" applyAlignment="1">
      <alignment horizontal="center"/>
    </xf>
    <xf numFmtId="0" fontId="55" fillId="2" borderId="13" xfId="0" applyFont="1" applyFill="1" applyBorder="1" applyAlignment="1">
      <alignment horizontal="center"/>
    </xf>
    <xf numFmtId="0" fontId="81" fillId="2" borderId="16" xfId="0" applyFont="1" applyFill="1" applyBorder="1" applyAlignment="1">
      <alignment horizontal="center"/>
    </xf>
    <xf numFmtId="0" fontId="81" fillId="2" borderId="1" xfId="0" applyFont="1" applyFill="1" applyBorder="1" applyAlignment="1">
      <alignment horizontal="center"/>
    </xf>
    <xf numFmtId="0" fontId="55" fillId="2" borderId="17" xfId="0" applyFont="1" applyFill="1" applyBorder="1" applyAlignment="1">
      <alignment horizontal="center"/>
    </xf>
    <xf numFmtId="0" fontId="55" fillId="2" borderId="18" xfId="0" applyFont="1" applyFill="1" applyBorder="1" applyAlignment="1">
      <alignment horizontal="center"/>
    </xf>
    <xf numFmtId="0" fontId="55" fillId="2" borderId="19" xfId="0" applyFont="1" applyFill="1" applyBorder="1" applyAlignment="1">
      <alignment horizontal="center"/>
    </xf>
    <xf numFmtId="0" fontId="81" fillId="2" borderId="0" xfId="0" applyFont="1" applyFill="1"/>
    <xf numFmtId="0" fontId="31" fillId="2" borderId="15" xfId="0" applyFont="1" applyFill="1" applyBorder="1"/>
    <xf numFmtId="0" fontId="31" fillId="2" borderId="20" xfId="0" applyFont="1" applyFill="1" applyBorder="1"/>
    <xf numFmtId="0" fontId="32" fillId="2" borderId="20" xfId="0" applyFont="1" applyFill="1" applyBorder="1"/>
    <xf numFmtId="0" fontId="38" fillId="2" borderId="12" xfId="0" applyFont="1" applyFill="1" applyBorder="1" applyAlignment="1">
      <alignment horizontal="left"/>
    </xf>
    <xf numFmtId="0" fontId="81" fillId="2" borderId="0" xfId="0" applyFont="1" applyFill="1" applyAlignment="1">
      <alignment horizontal="left"/>
    </xf>
    <xf numFmtId="4" fontId="81" fillId="2" borderId="0" xfId="0" applyNumberFormat="1" applyFont="1" applyFill="1" applyAlignment="1">
      <alignment horizontal="right"/>
    </xf>
    <xf numFmtId="4" fontId="42" fillId="0" borderId="21" xfId="0" applyNumberFormat="1" applyFont="1" applyBorder="1" applyProtection="1">
      <protection locked="0"/>
    </xf>
    <xf numFmtId="4" fontId="41" fillId="0" borderId="21" xfId="0" applyNumberFormat="1" applyFont="1" applyBorder="1" applyProtection="1">
      <protection locked="0"/>
    </xf>
    <xf numFmtId="4" fontId="8" fillId="0" borderId="0" xfId="0" applyNumberFormat="1" applyFont="1" applyAlignment="1" applyProtection="1">
      <alignment vertical="center"/>
      <protection locked="0"/>
    </xf>
    <xf numFmtId="1" fontId="34" fillId="5" borderId="0" xfId="0" applyNumberFormat="1" applyFont="1" applyFill="1" applyAlignment="1">
      <alignment horizontal="center" vertical="center"/>
    </xf>
    <xf numFmtId="0" fontId="33" fillId="2" borderId="53" xfId="0" applyFont="1" applyFill="1" applyBorder="1" applyAlignment="1" applyProtection="1">
      <alignment horizontal="center" vertical="center"/>
      <protection locked="0"/>
    </xf>
    <xf numFmtId="0" fontId="33" fillId="2" borderId="50" xfId="0" applyFont="1" applyFill="1" applyBorder="1" applyAlignment="1" applyProtection="1">
      <alignment horizontal="center" vertical="center"/>
      <protection locked="0"/>
    </xf>
    <xf numFmtId="0" fontId="33" fillId="2" borderId="64" xfId="0" applyFont="1" applyFill="1" applyBorder="1" applyAlignment="1" applyProtection="1">
      <alignment horizontal="center" vertical="center"/>
      <protection locked="0"/>
    </xf>
    <xf numFmtId="0" fontId="32" fillId="2" borderId="0" xfId="0" applyFont="1" applyFill="1" applyAlignment="1">
      <alignment horizontal="left"/>
    </xf>
    <xf numFmtId="0" fontId="33" fillId="2" borderId="53" xfId="0" applyFont="1" applyFill="1" applyBorder="1" applyAlignment="1">
      <alignment horizontal="center" vertical="center"/>
    </xf>
    <xf numFmtId="0" fontId="33" fillId="2" borderId="50" xfId="0" applyFont="1" applyFill="1" applyBorder="1" applyAlignment="1">
      <alignment horizontal="center" vertical="center"/>
    </xf>
    <xf numFmtId="0" fontId="33" fillId="2" borderId="64" xfId="0" applyFont="1" applyFill="1" applyBorder="1" applyAlignment="1">
      <alignment horizontal="center" vertical="center"/>
    </xf>
    <xf numFmtId="0" fontId="31" fillId="4" borderId="0" xfId="0" applyFont="1" applyFill="1" applyAlignment="1">
      <alignment horizontal="left" vertical="center"/>
    </xf>
    <xf numFmtId="0" fontId="32" fillId="2" borderId="135" xfId="0" applyFont="1" applyFill="1" applyBorder="1" applyAlignment="1">
      <alignment horizontal="center" vertical="center"/>
    </xf>
    <xf numFmtId="0" fontId="32" fillId="2" borderId="51" xfId="0" applyFont="1" applyFill="1" applyBorder="1" applyAlignment="1">
      <alignment horizontal="center" vertical="center"/>
    </xf>
    <xf numFmtId="0" fontId="38" fillId="2" borderId="2" xfId="0" applyFont="1" applyFill="1" applyBorder="1" applyAlignment="1" applyProtection="1">
      <alignment horizontal="left"/>
      <protection locked="0"/>
    </xf>
    <xf numFmtId="0" fontId="38" fillId="2" borderId="3" xfId="0" applyFont="1" applyFill="1" applyBorder="1" applyAlignment="1" applyProtection="1">
      <alignment horizontal="left"/>
      <protection locked="0"/>
    </xf>
    <xf numFmtId="0" fontId="38" fillId="2" borderId="4" xfId="0" applyFont="1" applyFill="1" applyBorder="1" applyAlignment="1" applyProtection="1">
      <alignment horizontal="left"/>
      <protection locked="0"/>
    </xf>
    <xf numFmtId="0" fontId="38" fillId="2" borderId="4" xfId="0" applyFont="1" applyFill="1" applyBorder="1" applyAlignment="1">
      <alignment horizontal="left"/>
    </xf>
    <xf numFmtId="0" fontId="38" fillId="2" borderId="3" xfId="0" applyFont="1" applyFill="1" applyBorder="1" applyAlignment="1">
      <alignment horizontal="left"/>
    </xf>
    <xf numFmtId="0" fontId="41" fillId="2" borderId="27" xfId="0" applyFont="1" applyFill="1" applyBorder="1" applyAlignment="1">
      <alignment horizontal="left"/>
    </xf>
    <xf numFmtId="0" fontId="31" fillId="4" borderId="0" xfId="0" applyFont="1" applyFill="1" applyAlignment="1">
      <alignment horizontal="left" vertical="center" wrapText="1"/>
    </xf>
    <xf numFmtId="0" fontId="41" fillId="2" borderId="1" xfId="0" applyFont="1" applyFill="1" applyBorder="1" applyAlignment="1">
      <alignment horizontal="left" wrapText="1"/>
    </xf>
    <xf numFmtId="0" fontId="41" fillId="2" borderId="1" xfId="0" applyFont="1" applyFill="1" applyBorder="1" applyAlignment="1">
      <alignment horizontal="right"/>
    </xf>
    <xf numFmtId="0" fontId="39" fillId="6" borderId="1" xfId="0" applyFont="1" applyFill="1" applyBorder="1" applyAlignment="1">
      <alignment horizontal="right"/>
    </xf>
    <xf numFmtId="0" fontId="41" fillId="2" borderId="2" xfId="0" applyFont="1" applyFill="1" applyBorder="1" applyAlignment="1" applyProtection="1">
      <alignment horizontal="left"/>
      <protection locked="0"/>
    </xf>
    <xf numFmtId="0" fontId="32" fillId="2" borderId="112" xfId="0" applyFont="1" applyFill="1" applyBorder="1" applyAlignment="1" applyProtection="1">
      <alignment horizontal="left" vertical="center"/>
      <protection locked="0"/>
    </xf>
    <xf numFmtId="0" fontId="32" fillId="2" borderId="115" xfId="0" applyFont="1" applyFill="1" applyBorder="1" applyAlignment="1" applyProtection="1">
      <alignment horizontal="left" vertical="center"/>
      <protection locked="0"/>
    </xf>
    <xf numFmtId="0" fontId="32" fillId="2" borderId="113" xfId="0" applyFont="1" applyFill="1" applyBorder="1" applyAlignment="1" applyProtection="1">
      <alignment horizontal="left" vertical="center"/>
      <protection locked="0"/>
    </xf>
    <xf numFmtId="0" fontId="32" fillId="2" borderId="0" xfId="0" applyFont="1" applyFill="1" applyAlignment="1">
      <alignment horizontal="center" vertical="center"/>
    </xf>
    <xf numFmtId="0" fontId="33" fillId="5" borderId="55" xfId="0" applyFont="1" applyFill="1" applyBorder="1" applyAlignment="1">
      <alignment horizontal="left" vertical="center" wrapText="1"/>
    </xf>
    <xf numFmtId="0" fontId="33" fillId="5" borderId="71" xfId="0" applyFont="1" applyFill="1" applyBorder="1" applyAlignment="1">
      <alignment horizontal="left" vertical="center" wrapText="1"/>
    </xf>
    <xf numFmtId="0" fontId="33" fillId="5" borderId="58" xfId="0" applyFont="1" applyFill="1" applyBorder="1" applyAlignment="1">
      <alignment horizontal="left" vertical="center" wrapText="1"/>
    </xf>
    <xf numFmtId="0" fontId="33" fillId="5" borderId="72" xfId="0" applyFont="1" applyFill="1" applyBorder="1" applyAlignment="1">
      <alignment horizontal="left" vertical="center" wrapText="1"/>
    </xf>
    <xf numFmtId="0" fontId="32" fillId="2" borderId="133" xfId="0" applyFont="1" applyFill="1" applyBorder="1" applyAlignment="1">
      <alignment horizontal="left" vertical="center"/>
    </xf>
    <xf numFmtId="0" fontId="32" fillId="2" borderId="223" xfId="0" applyFont="1" applyFill="1" applyBorder="1" applyAlignment="1">
      <alignment horizontal="left" vertical="center"/>
    </xf>
    <xf numFmtId="0" fontId="32" fillId="2" borderId="112" xfId="0" applyFont="1" applyFill="1" applyBorder="1" applyAlignment="1">
      <alignment horizontal="left" vertical="center"/>
    </xf>
    <xf numFmtId="0" fontId="32" fillId="2" borderId="115" xfId="0" applyFont="1" applyFill="1" applyBorder="1" applyAlignment="1">
      <alignment horizontal="left" vertical="center"/>
    </xf>
    <xf numFmtId="4" fontId="42" fillId="5" borderId="55" xfId="0" applyNumberFormat="1" applyFont="1" applyFill="1" applyBorder="1" applyAlignment="1">
      <alignment horizontal="center" vertical="center"/>
    </xf>
    <xf numFmtId="4" fontId="42" fillId="5" borderId="71" xfId="0" applyNumberFormat="1" applyFont="1" applyFill="1" applyBorder="1" applyAlignment="1">
      <alignment horizontal="center" vertical="center"/>
    </xf>
    <xf numFmtId="4" fontId="42" fillId="5" borderId="56" xfId="0" applyNumberFormat="1" applyFont="1" applyFill="1" applyBorder="1" applyAlignment="1">
      <alignment horizontal="center" vertical="center"/>
    </xf>
    <xf numFmtId="4" fontId="42" fillId="5" borderId="58" xfId="0" applyNumberFormat="1" applyFont="1" applyFill="1" applyBorder="1" applyAlignment="1">
      <alignment horizontal="center" vertical="center"/>
    </xf>
    <xf numFmtId="4" fontId="42" fillId="5" borderId="72" xfId="0" applyNumberFormat="1" applyFont="1" applyFill="1" applyBorder="1" applyAlignment="1">
      <alignment horizontal="center" vertical="center"/>
    </xf>
    <xf numFmtId="4" fontId="42" fillId="5" borderId="59" xfId="0" applyNumberFormat="1" applyFont="1" applyFill="1" applyBorder="1" applyAlignment="1">
      <alignment horizontal="center" vertical="center"/>
    </xf>
    <xf numFmtId="0" fontId="31" fillId="2" borderId="109" xfId="0" applyFont="1" applyFill="1" applyBorder="1" applyAlignment="1">
      <alignment horizontal="left" vertical="center"/>
    </xf>
    <xf numFmtId="0" fontId="31" fillId="2" borderId="185" xfId="0" applyFont="1" applyFill="1" applyBorder="1" applyAlignment="1">
      <alignment horizontal="left" vertical="center"/>
    </xf>
    <xf numFmtId="0" fontId="31" fillId="2" borderId="110" xfId="0" applyFont="1" applyFill="1" applyBorder="1" applyAlignment="1">
      <alignment horizontal="left" vertical="center"/>
    </xf>
    <xf numFmtId="4" fontId="37" fillId="5" borderId="53" xfId="0" applyNumberFormat="1" applyFont="1" applyFill="1" applyBorder="1" applyAlignment="1">
      <alignment horizontal="center" vertical="center"/>
    </xf>
    <xf numFmtId="4" fontId="37" fillId="5" borderId="50" xfId="0" applyNumberFormat="1" applyFont="1" applyFill="1" applyBorder="1" applyAlignment="1">
      <alignment horizontal="center" vertical="center"/>
    </xf>
    <xf numFmtId="4" fontId="37" fillId="5" borderId="64" xfId="0" applyNumberFormat="1" applyFont="1" applyFill="1" applyBorder="1" applyAlignment="1">
      <alignment horizontal="center" vertical="center"/>
    </xf>
    <xf numFmtId="0" fontId="31" fillId="2" borderId="53" xfId="0" applyFont="1" applyFill="1" applyBorder="1" applyAlignment="1">
      <alignment horizontal="left" vertical="center"/>
    </xf>
    <xf numFmtId="0" fontId="31" fillId="2" borderId="50" xfId="0" applyFont="1" applyFill="1" applyBorder="1" applyAlignment="1">
      <alignment horizontal="left" vertical="center"/>
    </xf>
    <xf numFmtId="0" fontId="31" fillId="2" borderId="64" xfId="0" applyFont="1" applyFill="1" applyBorder="1" applyAlignment="1">
      <alignment horizontal="left" vertical="center"/>
    </xf>
    <xf numFmtId="0" fontId="31" fillId="2" borderId="109" xfId="0" applyFont="1" applyFill="1" applyBorder="1" applyAlignment="1" applyProtection="1">
      <alignment horizontal="left" vertical="center"/>
      <protection locked="0"/>
    </xf>
    <xf numFmtId="0" fontId="31" fillId="2" borderId="185" xfId="0" applyFont="1" applyFill="1" applyBorder="1" applyAlignment="1" applyProtection="1">
      <alignment horizontal="left" vertical="center"/>
      <protection locked="0"/>
    </xf>
    <xf numFmtId="0" fontId="31" fillId="2" borderId="110" xfId="0" applyFont="1" applyFill="1" applyBorder="1" applyAlignment="1" applyProtection="1">
      <alignment horizontal="left" vertical="center"/>
      <protection locked="0"/>
    </xf>
    <xf numFmtId="0" fontId="31" fillId="2" borderId="111" xfId="0" applyFont="1" applyFill="1" applyBorder="1" applyAlignment="1" applyProtection="1">
      <alignment horizontal="left" vertical="center"/>
      <protection locked="0"/>
    </xf>
    <xf numFmtId="0" fontId="31" fillId="2" borderId="209" xfId="0" applyFont="1" applyFill="1" applyBorder="1" applyAlignment="1" applyProtection="1">
      <alignment horizontal="left" vertical="center"/>
      <protection locked="0"/>
    </xf>
    <xf numFmtId="0" fontId="31" fillId="2" borderId="49" xfId="0" applyFont="1" applyFill="1" applyBorder="1" applyAlignment="1" applyProtection="1">
      <alignment horizontal="left" vertical="center"/>
      <protection locked="0"/>
    </xf>
    <xf numFmtId="0" fontId="32" fillId="2" borderId="111" xfId="0" applyFont="1" applyFill="1" applyBorder="1" applyAlignment="1" applyProtection="1">
      <alignment horizontal="left" vertical="center"/>
      <protection locked="0"/>
    </xf>
    <xf numFmtId="0" fontId="32" fillId="2" borderId="209" xfId="0" applyFont="1" applyFill="1" applyBorder="1" applyAlignment="1" applyProtection="1">
      <alignment horizontal="left" vertical="center"/>
      <protection locked="0"/>
    </xf>
    <xf numFmtId="0" fontId="32" fillId="2" borderId="49" xfId="0" applyFont="1" applyFill="1" applyBorder="1" applyAlignment="1" applyProtection="1">
      <alignment horizontal="left" vertical="center"/>
      <protection locked="0"/>
    </xf>
    <xf numFmtId="0" fontId="52" fillId="2" borderId="53" xfId="0" applyFont="1" applyFill="1" applyBorder="1" applyAlignment="1">
      <alignment horizontal="left" vertical="center"/>
    </xf>
    <xf numFmtId="0" fontId="52" fillId="2" borderId="50" xfId="0" applyFont="1" applyFill="1" applyBorder="1" applyAlignment="1">
      <alignment horizontal="left" vertical="center"/>
    </xf>
    <xf numFmtId="0" fontId="52" fillId="2" borderId="64" xfId="0" applyFont="1" applyFill="1" applyBorder="1" applyAlignment="1">
      <alignment horizontal="left" vertical="center"/>
    </xf>
    <xf numFmtId="0" fontId="31" fillId="2" borderId="112" xfId="0" applyFont="1" applyFill="1" applyBorder="1" applyAlignment="1">
      <alignment horizontal="left" vertical="center"/>
    </xf>
    <xf numFmtId="0" fontId="31" fillId="2" borderId="115" xfId="0" applyFont="1" applyFill="1" applyBorder="1" applyAlignment="1">
      <alignment horizontal="left" vertical="center"/>
    </xf>
    <xf numFmtId="0" fontId="31" fillId="2" borderId="113" xfId="0" applyFont="1" applyFill="1" applyBorder="1" applyAlignment="1">
      <alignment horizontal="left" vertical="center"/>
    </xf>
    <xf numFmtId="0" fontId="31" fillId="2" borderId="53" xfId="0" applyFont="1" applyFill="1" applyBorder="1" applyAlignment="1" applyProtection="1">
      <alignment horizontal="left" vertical="center"/>
      <protection locked="0"/>
    </xf>
    <xf numFmtId="0" fontId="31" fillId="2" borderId="50" xfId="0" applyFont="1" applyFill="1" applyBorder="1" applyAlignment="1" applyProtection="1">
      <alignment horizontal="left" vertical="center"/>
      <protection locked="0"/>
    </xf>
    <xf numFmtId="0" fontId="31" fillId="2" borderId="64" xfId="0" applyFont="1" applyFill="1" applyBorder="1" applyAlignment="1" applyProtection="1">
      <alignment horizontal="left" vertical="center"/>
      <protection locked="0"/>
    </xf>
    <xf numFmtId="0" fontId="31" fillId="2" borderId="42" xfId="0" applyFont="1" applyFill="1" applyBorder="1" applyAlignment="1">
      <alignment horizontal="left" vertical="center"/>
    </xf>
    <xf numFmtId="0" fontId="31" fillId="2" borderId="43" xfId="0" applyFont="1" applyFill="1" applyBorder="1" applyAlignment="1">
      <alignment horizontal="left" vertical="center"/>
    </xf>
    <xf numFmtId="0" fontId="31" fillId="2" borderId="44" xfId="0" applyFont="1" applyFill="1" applyBorder="1" applyAlignment="1">
      <alignment horizontal="left" vertical="center"/>
    </xf>
    <xf numFmtId="4" fontId="31" fillId="2" borderId="42" xfId="0" applyNumberFormat="1" applyFont="1" applyFill="1" applyBorder="1" applyAlignment="1">
      <alignment horizontal="left" vertical="center"/>
    </xf>
    <xf numFmtId="4" fontId="31" fillId="2" borderId="43" xfId="0" applyNumberFormat="1" applyFont="1" applyFill="1" applyBorder="1" applyAlignment="1">
      <alignment horizontal="left" vertical="center"/>
    </xf>
    <xf numFmtId="4" fontId="31" fillId="2" borderId="44" xfId="0" applyNumberFormat="1" applyFont="1" applyFill="1" applyBorder="1" applyAlignment="1">
      <alignment horizontal="left" vertical="center"/>
    </xf>
    <xf numFmtId="4" fontId="32" fillId="2" borderId="133" xfId="0" applyNumberFormat="1" applyFont="1" applyFill="1" applyBorder="1" applyAlignment="1">
      <alignment horizontal="left" vertical="center"/>
    </xf>
    <xf numFmtId="4" fontId="32" fillId="2" borderId="223" xfId="0" applyNumberFormat="1" applyFont="1" applyFill="1" applyBorder="1" applyAlignment="1">
      <alignment horizontal="left" vertical="center"/>
    </xf>
    <xf numFmtId="4" fontId="32" fillId="2" borderId="157" xfId="0" applyNumberFormat="1" applyFont="1" applyFill="1" applyBorder="1" applyAlignment="1">
      <alignment horizontal="left" vertical="center"/>
    </xf>
    <xf numFmtId="4" fontId="32" fillId="2" borderId="112" xfId="0" applyNumberFormat="1" applyFont="1" applyFill="1" applyBorder="1" applyAlignment="1" applyProtection="1">
      <alignment horizontal="left" vertical="center"/>
      <protection locked="0"/>
    </xf>
    <xf numFmtId="4" fontId="32" fillId="2" borderId="115" xfId="0" applyNumberFormat="1" applyFont="1" applyFill="1" applyBorder="1" applyAlignment="1" applyProtection="1">
      <alignment horizontal="left" vertical="center"/>
      <protection locked="0"/>
    </xf>
    <xf numFmtId="4" fontId="32" fillId="2" borderId="113" xfId="0" applyNumberFormat="1" applyFont="1" applyFill="1" applyBorder="1" applyAlignment="1" applyProtection="1">
      <alignment horizontal="left" vertical="center"/>
      <protection locked="0"/>
    </xf>
    <xf numFmtId="4" fontId="32" fillId="2" borderId="111" xfId="0" applyNumberFormat="1" applyFont="1" applyFill="1" applyBorder="1" applyAlignment="1" applyProtection="1">
      <alignment horizontal="left" vertical="center"/>
      <protection locked="0"/>
    </xf>
    <xf numFmtId="4" fontId="32" fillId="2" borderId="209" xfId="0" applyNumberFormat="1" applyFont="1" applyFill="1" applyBorder="1" applyAlignment="1" applyProtection="1">
      <alignment horizontal="left" vertical="center"/>
      <protection locked="0"/>
    </xf>
    <xf numFmtId="4" fontId="32" fillId="2" borderId="49" xfId="0" applyNumberFormat="1" applyFont="1" applyFill="1" applyBorder="1" applyAlignment="1" applyProtection="1">
      <alignment horizontal="left" vertical="center"/>
      <protection locked="0"/>
    </xf>
    <xf numFmtId="4" fontId="32" fillId="2" borderId="109" xfId="0" applyNumberFormat="1" applyFont="1" applyFill="1" applyBorder="1" applyAlignment="1" applyProtection="1">
      <alignment horizontal="left" vertical="center"/>
      <protection locked="0"/>
    </xf>
    <xf numFmtId="4" fontId="32" fillId="2" borderId="185" xfId="0" applyNumberFormat="1" applyFont="1" applyFill="1" applyBorder="1" applyAlignment="1" applyProtection="1">
      <alignment horizontal="left" vertical="center"/>
      <protection locked="0"/>
    </xf>
    <xf numFmtId="4" fontId="32" fillId="2" borderId="110" xfId="0" applyNumberFormat="1" applyFont="1" applyFill="1" applyBorder="1" applyAlignment="1" applyProtection="1">
      <alignment horizontal="left" vertical="center"/>
      <protection locked="0"/>
    </xf>
    <xf numFmtId="4" fontId="32" fillId="2" borderId="133" xfId="0" applyNumberFormat="1" applyFont="1" applyFill="1" applyBorder="1" applyAlignment="1" applyProtection="1">
      <alignment horizontal="left" vertical="center"/>
      <protection locked="0"/>
    </xf>
    <xf numFmtId="4" fontId="32" fillId="2" borderId="223" xfId="0" applyNumberFormat="1" applyFont="1" applyFill="1" applyBorder="1" applyAlignment="1" applyProtection="1">
      <alignment horizontal="left" vertical="center"/>
      <protection locked="0"/>
    </xf>
    <xf numFmtId="4" fontId="32" fillId="2" borderId="157" xfId="0" applyNumberFormat="1" applyFont="1" applyFill="1" applyBorder="1" applyAlignment="1" applyProtection="1">
      <alignment horizontal="left" vertical="center"/>
      <protection locked="0"/>
    </xf>
    <xf numFmtId="4" fontId="31" fillId="2" borderId="53" xfId="0" applyNumberFormat="1" applyFont="1" applyFill="1" applyBorder="1" applyAlignment="1">
      <alignment horizontal="left" vertical="center"/>
    </xf>
    <xf numFmtId="4" fontId="31" fillId="2" borderId="50" xfId="0" applyNumberFormat="1" applyFont="1" applyFill="1" applyBorder="1" applyAlignment="1">
      <alignment horizontal="left" vertical="center"/>
    </xf>
    <xf numFmtId="4" fontId="31" fillId="2" borderId="64" xfId="0" applyNumberFormat="1" applyFont="1" applyFill="1" applyBorder="1" applyAlignment="1">
      <alignment horizontal="left" vertical="center"/>
    </xf>
    <xf numFmtId="4" fontId="32" fillId="2" borderId="176" xfId="0" applyNumberFormat="1" applyFont="1" applyFill="1" applyBorder="1" applyAlignment="1" applyProtection="1">
      <alignment horizontal="left"/>
      <protection locked="0"/>
    </xf>
    <xf numFmtId="4" fontId="32" fillId="2" borderId="137" xfId="0" applyNumberFormat="1" applyFont="1" applyFill="1" applyBorder="1" applyAlignment="1" applyProtection="1">
      <alignment horizontal="left"/>
      <protection locked="0"/>
    </xf>
    <xf numFmtId="4" fontId="32" fillId="2" borderId="230" xfId="0" applyNumberFormat="1" applyFont="1" applyFill="1" applyBorder="1" applyAlignment="1" applyProtection="1">
      <alignment horizontal="left"/>
      <protection locked="0"/>
    </xf>
    <xf numFmtId="4" fontId="32" fillId="2" borderId="177" xfId="0" applyNumberFormat="1" applyFont="1" applyFill="1" applyBorder="1" applyAlignment="1" applyProtection="1">
      <alignment horizontal="left"/>
      <protection locked="0"/>
    </xf>
    <xf numFmtId="4" fontId="32" fillId="2" borderId="138" xfId="0" applyNumberFormat="1" applyFont="1" applyFill="1" applyBorder="1" applyAlignment="1" applyProtection="1">
      <alignment horizontal="left"/>
      <protection locked="0"/>
    </xf>
    <xf numFmtId="4" fontId="32" fillId="2" borderId="225" xfId="0" applyNumberFormat="1" applyFont="1" applyFill="1" applyBorder="1" applyAlignment="1" applyProtection="1">
      <alignment horizontal="left"/>
      <protection locked="0"/>
    </xf>
    <xf numFmtId="4" fontId="31" fillId="2" borderId="226" xfId="0" applyNumberFormat="1" applyFont="1" applyFill="1" applyBorder="1" applyAlignment="1" applyProtection="1">
      <alignment horizontal="left"/>
      <protection locked="0"/>
    </xf>
    <xf numFmtId="4" fontId="31" fillId="2" borderId="200" xfId="0" applyNumberFormat="1" applyFont="1" applyFill="1" applyBorder="1" applyAlignment="1" applyProtection="1">
      <alignment horizontal="left"/>
      <protection locked="0"/>
    </xf>
    <xf numFmtId="4" fontId="31" fillId="2" borderId="227" xfId="0" applyNumberFormat="1" applyFont="1" applyFill="1" applyBorder="1" applyAlignment="1" applyProtection="1">
      <alignment horizontal="left"/>
      <protection locked="0"/>
    </xf>
    <xf numFmtId="0" fontId="41" fillId="2" borderId="228" xfId="0" applyFont="1" applyFill="1" applyBorder="1" applyAlignment="1" applyProtection="1">
      <alignment horizontal="left"/>
      <protection locked="0"/>
    </xf>
    <xf numFmtId="0" fontId="41" fillId="2" borderId="175" xfId="0" applyFont="1" applyFill="1" applyBorder="1" applyAlignment="1" applyProtection="1">
      <alignment horizontal="left"/>
      <protection locked="0"/>
    </xf>
    <xf numFmtId="0" fontId="41" fillId="2" borderId="229" xfId="0" applyFont="1" applyFill="1" applyBorder="1" applyAlignment="1" applyProtection="1">
      <alignment horizontal="left"/>
      <protection locked="0"/>
    </xf>
    <xf numFmtId="4" fontId="31" fillId="2" borderId="228" xfId="0" applyNumberFormat="1" applyFont="1" applyFill="1" applyBorder="1" applyAlignment="1" applyProtection="1">
      <alignment horizontal="left"/>
      <protection locked="0"/>
    </xf>
    <xf numFmtId="4" fontId="31" fillId="2" borderId="175" xfId="0" applyNumberFormat="1" applyFont="1" applyFill="1" applyBorder="1" applyAlignment="1" applyProtection="1">
      <alignment horizontal="left"/>
      <protection locked="0"/>
    </xf>
    <xf numFmtId="4" fontId="31" fillId="2" borderId="229" xfId="0" applyNumberFormat="1" applyFont="1" applyFill="1" applyBorder="1" applyAlignment="1" applyProtection="1">
      <alignment horizontal="left"/>
      <protection locked="0"/>
    </xf>
    <xf numFmtId="0" fontId="31" fillId="5" borderId="67" xfId="0" applyFont="1" applyFill="1" applyBorder="1" applyAlignment="1">
      <alignment horizontal="left"/>
    </xf>
    <xf numFmtId="0" fontId="31" fillId="5" borderId="0" xfId="0" applyFont="1" applyFill="1" applyAlignment="1">
      <alignment horizontal="left"/>
    </xf>
    <xf numFmtId="0" fontId="31" fillId="5" borderId="77" xfId="0" applyFont="1" applyFill="1" applyBorder="1" applyAlignment="1">
      <alignment horizontal="left"/>
    </xf>
    <xf numFmtId="0" fontId="31" fillId="5" borderId="129" xfId="0" applyFont="1" applyFill="1" applyBorder="1" applyAlignment="1">
      <alignment horizontal="center"/>
    </xf>
    <xf numFmtId="0" fontId="31" fillId="5" borderId="66" xfId="0" applyFont="1" applyFill="1" applyBorder="1" applyAlignment="1">
      <alignment horizontal="center"/>
    </xf>
    <xf numFmtId="0" fontId="31" fillId="5" borderId="231" xfId="0" applyFont="1" applyFill="1" applyBorder="1" applyAlignment="1">
      <alignment horizontal="center"/>
    </xf>
    <xf numFmtId="0" fontId="41" fillId="2" borderId="67" xfId="0" applyFont="1" applyFill="1" applyBorder="1" applyAlignment="1" applyProtection="1">
      <alignment horizontal="left"/>
      <protection locked="0"/>
    </xf>
    <xf numFmtId="0" fontId="41" fillId="2" borderId="0" xfId="0" applyFont="1" applyFill="1" applyAlignment="1" applyProtection="1">
      <alignment horizontal="left"/>
      <protection locked="0"/>
    </xf>
    <xf numFmtId="0" fontId="41" fillId="2" borderId="77" xfId="0" applyFont="1" applyFill="1" applyBorder="1" applyAlignment="1" applyProtection="1">
      <alignment horizontal="left"/>
      <protection locked="0"/>
    </xf>
    <xf numFmtId="0" fontId="41" fillId="2" borderId="87" xfId="0" applyFont="1" applyFill="1" applyBorder="1" applyAlignment="1" applyProtection="1">
      <alignment horizontal="left"/>
      <protection locked="0"/>
    </xf>
    <xf numFmtId="0" fontId="41" fillId="2" borderId="29" xfId="0" applyFont="1" applyFill="1" applyBorder="1" applyAlignment="1" applyProtection="1">
      <alignment horizontal="left"/>
      <protection locked="0"/>
    </xf>
    <xf numFmtId="0" fontId="41" fillId="2" borderId="232" xfId="0" applyFont="1" applyFill="1" applyBorder="1" applyAlignment="1" applyProtection="1">
      <alignment horizontal="left"/>
      <protection locked="0"/>
    </xf>
    <xf numFmtId="0" fontId="35" fillId="5" borderId="65" xfId="0" applyFont="1" applyFill="1" applyBorder="1" applyAlignment="1">
      <alignment horizontal="center" vertical="center"/>
    </xf>
    <xf numFmtId="0" fontId="35" fillId="5" borderId="36" xfId="0" applyFont="1" applyFill="1" applyBorder="1" applyAlignment="1">
      <alignment horizontal="center" vertical="center"/>
    </xf>
    <xf numFmtId="0" fontId="35" fillId="5" borderId="224" xfId="0" applyFont="1" applyFill="1" applyBorder="1" applyAlignment="1">
      <alignment horizontal="left" vertical="center"/>
    </xf>
    <xf numFmtId="0" fontId="35" fillId="5" borderId="75" xfId="0" applyFont="1" applyFill="1" applyBorder="1" applyAlignment="1">
      <alignment horizontal="left" vertical="center"/>
    </xf>
    <xf numFmtId="0" fontId="31" fillId="2" borderId="233" xfId="0" applyFont="1" applyFill="1" applyBorder="1" applyAlignment="1">
      <alignment horizontal="center" vertical="center"/>
    </xf>
    <xf numFmtId="0" fontId="31" fillId="2" borderId="234" xfId="0" applyFont="1" applyFill="1" applyBorder="1" applyAlignment="1">
      <alignment horizontal="center" vertical="center"/>
    </xf>
    <xf numFmtId="0" fontId="47" fillId="5" borderId="79" xfId="0" applyFont="1" applyFill="1" applyBorder="1" applyAlignment="1">
      <alignment horizontal="center" vertical="center" wrapText="1"/>
    </xf>
    <xf numFmtId="0" fontId="48" fillId="5" borderId="80" xfId="0" applyFont="1" applyFill="1" applyBorder="1" applyAlignment="1">
      <alignment horizontal="center" vertical="center" wrapText="1"/>
    </xf>
    <xf numFmtId="0" fontId="37" fillId="5" borderId="93" xfId="0" applyFont="1" applyFill="1" applyBorder="1" applyAlignment="1">
      <alignment horizontal="center" vertical="center"/>
    </xf>
    <xf numFmtId="0" fontId="37" fillId="5" borderId="79" xfId="0" applyFont="1" applyFill="1" applyBorder="1" applyAlignment="1">
      <alignment horizontal="center" vertical="center"/>
    </xf>
    <xf numFmtId="0" fontId="37" fillId="5" borderId="80" xfId="0" applyFont="1" applyFill="1" applyBorder="1" applyAlignment="1">
      <alignment horizontal="center" vertical="center"/>
    </xf>
    <xf numFmtId="4" fontId="37" fillId="5" borderId="65" xfId="0" applyNumberFormat="1" applyFont="1" applyFill="1" applyBorder="1" applyAlignment="1">
      <alignment horizontal="center" vertical="center"/>
    </xf>
    <xf numFmtId="4" fontId="37" fillId="5" borderId="66" xfId="0" applyNumberFormat="1" applyFont="1" applyFill="1" applyBorder="1" applyAlignment="1">
      <alignment horizontal="center" vertical="center"/>
    </xf>
    <xf numFmtId="4" fontId="37" fillId="5" borderId="231" xfId="0" applyNumberFormat="1" applyFont="1" applyFill="1" applyBorder="1" applyAlignment="1">
      <alignment horizontal="center" vertical="center"/>
    </xf>
    <xf numFmtId="4" fontId="37" fillId="5" borderId="38" xfId="0" applyNumberFormat="1" applyFont="1" applyFill="1" applyBorder="1" applyAlignment="1">
      <alignment horizontal="center" vertical="center"/>
    </xf>
    <xf numFmtId="4" fontId="37" fillId="5" borderId="29" xfId="0" applyNumberFormat="1" applyFont="1" applyFill="1" applyBorder="1" applyAlignment="1">
      <alignment horizontal="center" vertical="center"/>
    </xf>
    <xf numFmtId="4" fontId="37" fillId="5" borderId="232" xfId="0" applyNumberFormat="1" applyFont="1" applyFill="1" applyBorder="1" applyAlignment="1">
      <alignment horizontal="center" vertical="center"/>
    </xf>
    <xf numFmtId="0" fontId="37" fillId="5" borderId="231" xfId="0" quotePrefix="1" applyFont="1" applyFill="1" applyBorder="1" applyAlignment="1">
      <alignment horizontal="center" vertical="center"/>
    </xf>
    <xf numFmtId="0" fontId="37" fillId="5" borderId="232" xfId="0" quotePrefix="1" applyFont="1" applyFill="1" applyBorder="1" applyAlignment="1">
      <alignment horizontal="center" vertical="center"/>
    </xf>
    <xf numFmtId="0" fontId="32" fillId="5" borderId="55" xfId="0" applyFont="1" applyFill="1" applyBorder="1" applyAlignment="1">
      <alignment horizontal="center" vertical="center"/>
    </xf>
    <xf numFmtId="0" fontId="32" fillId="5" borderId="56" xfId="0" applyFont="1" applyFill="1" applyBorder="1" applyAlignment="1">
      <alignment horizontal="center" vertical="center"/>
    </xf>
    <xf numFmtId="0" fontId="9" fillId="5" borderId="57" xfId="1" applyFont="1" applyFill="1" applyBorder="1" applyAlignment="1">
      <alignment horizontal="center" wrapText="1"/>
    </xf>
    <xf numFmtId="0" fontId="9" fillId="5" borderId="60" xfId="1" applyFont="1" applyFill="1" applyBorder="1" applyAlignment="1">
      <alignment horizontal="center" wrapText="1"/>
    </xf>
    <xf numFmtId="0" fontId="31" fillId="5" borderId="53" xfId="0" applyFont="1" applyFill="1" applyBorder="1" applyAlignment="1">
      <alignment horizontal="center" vertical="center"/>
    </xf>
    <xf numFmtId="0" fontId="31" fillId="5" borderId="50" xfId="0" applyFont="1" applyFill="1" applyBorder="1" applyAlignment="1">
      <alignment horizontal="center" vertical="center"/>
    </xf>
    <xf numFmtId="0" fontId="31" fillId="5" borderId="64" xfId="0" applyFont="1" applyFill="1" applyBorder="1" applyAlignment="1">
      <alignment horizontal="center" vertical="center"/>
    </xf>
    <xf numFmtId="0" fontId="31" fillId="2" borderId="43" xfId="0" applyFont="1" applyFill="1" applyBorder="1" applyAlignment="1">
      <alignment horizontal="center"/>
    </xf>
    <xf numFmtId="0" fontId="31" fillId="2" borderId="27" xfId="0" applyFont="1" applyFill="1" applyBorder="1" applyAlignment="1">
      <alignment horizontal="center"/>
    </xf>
    <xf numFmtId="0" fontId="10" fillId="5" borderId="240" xfId="1" applyFont="1" applyFill="1" applyBorder="1" applyAlignment="1">
      <alignment horizontal="center" vertical="center" wrapText="1"/>
    </xf>
    <xf numFmtId="0" fontId="10" fillId="5" borderId="59" xfId="1" applyFont="1" applyFill="1" applyBorder="1" applyAlignment="1">
      <alignment horizontal="center" vertical="center" wrapText="1"/>
    </xf>
    <xf numFmtId="0" fontId="10" fillId="5" borderId="67" xfId="1" applyFont="1" applyFill="1" applyBorder="1" applyAlignment="1">
      <alignment horizontal="center" vertical="center" wrapText="1"/>
    </xf>
    <xf numFmtId="0" fontId="10" fillId="5" borderId="22" xfId="1" applyFont="1" applyFill="1" applyBorder="1" applyAlignment="1">
      <alignment horizontal="center" vertical="center" wrapText="1"/>
    </xf>
    <xf numFmtId="0" fontId="10" fillId="5" borderId="58" xfId="1" applyFont="1" applyFill="1" applyBorder="1" applyAlignment="1">
      <alignment horizontal="center" vertical="center" wrapText="1"/>
    </xf>
    <xf numFmtId="0" fontId="10" fillId="5" borderId="239" xfId="1" applyFont="1" applyFill="1" applyBorder="1" applyAlignment="1">
      <alignment horizontal="center" vertical="center" wrapText="1"/>
    </xf>
    <xf numFmtId="0" fontId="10" fillId="5" borderId="53" xfId="1" applyFont="1" applyFill="1" applyBorder="1" applyAlignment="1">
      <alignment horizontal="center" vertical="center" wrapText="1"/>
    </xf>
    <xf numFmtId="0" fontId="10" fillId="5" borderId="64" xfId="1" applyFont="1" applyFill="1" applyBorder="1" applyAlignment="1">
      <alignment horizontal="center" vertical="center" wrapText="1"/>
    </xf>
    <xf numFmtId="0" fontId="10" fillId="5" borderId="71" xfId="1" applyFont="1" applyFill="1" applyBorder="1" applyAlignment="1">
      <alignment horizontal="center" vertical="center" wrapText="1"/>
    </xf>
    <xf numFmtId="0" fontId="10" fillId="5" borderId="56" xfId="1" applyFont="1" applyFill="1" applyBorder="1" applyAlignment="1">
      <alignment horizontal="center" vertical="center" wrapText="1"/>
    </xf>
    <xf numFmtId="0" fontId="10" fillId="5" borderId="72" xfId="1" applyFont="1" applyFill="1" applyBorder="1" applyAlignment="1">
      <alignment horizontal="center" vertical="center" wrapText="1"/>
    </xf>
    <xf numFmtId="0" fontId="31" fillId="5" borderId="55" xfId="0" applyFont="1" applyFill="1" applyBorder="1" applyAlignment="1">
      <alignment horizontal="center" vertical="center"/>
    </xf>
    <xf numFmtId="0" fontId="31" fillId="5" borderId="56" xfId="0" applyFont="1" applyFill="1" applyBorder="1" applyAlignment="1">
      <alignment horizontal="center" vertical="center"/>
    </xf>
    <xf numFmtId="0" fontId="31" fillId="5" borderId="67" xfId="0" applyFont="1" applyFill="1" applyBorder="1" applyAlignment="1">
      <alignment horizontal="center" vertical="center"/>
    </xf>
    <xf numFmtId="0" fontId="31" fillId="5" borderId="75" xfId="0" applyFont="1" applyFill="1" applyBorder="1" applyAlignment="1">
      <alignment horizontal="center" vertical="center"/>
    </xf>
    <xf numFmtId="0" fontId="10" fillId="5" borderId="53" xfId="1" applyFont="1" applyFill="1" applyBorder="1" applyAlignment="1">
      <alignment horizontal="left" vertical="center" wrapText="1"/>
    </xf>
    <xf numFmtId="0" fontId="10" fillId="5" borderId="64" xfId="1" applyFont="1" applyFill="1" applyBorder="1" applyAlignment="1">
      <alignment horizontal="left" vertical="center" wrapText="1"/>
    </xf>
    <xf numFmtId="0" fontId="31" fillId="5" borderId="58" xfId="0" applyFont="1" applyFill="1" applyBorder="1" applyAlignment="1">
      <alignment horizontal="center" vertical="center"/>
    </xf>
    <xf numFmtId="0" fontId="31" fillId="5" borderId="59" xfId="0" applyFont="1" applyFill="1" applyBorder="1" applyAlignment="1">
      <alignment horizontal="center" vertical="center"/>
    </xf>
    <xf numFmtId="0" fontId="10" fillId="5" borderId="55" xfId="1" applyFont="1" applyFill="1" applyBorder="1" applyAlignment="1">
      <alignment horizontal="center" vertical="center" wrapText="1"/>
    </xf>
    <xf numFmtId="0" fontId="10" fillId="5" borderId="236" xfId="1" applyFont="1" applyFill="1" applyBorder="1" applyAlignment="1">
      <alignment horizontal="center" vertical="center" wrapText="1"/>
    </xf>
    <xf numFmtId="0" fontId="10" fillId="5" borderId="50" xfId="1" applyFont="1" applyFill="1" applyBorder="1" applyAlignment="1">
      <alignment horizontal="center" vertical="center" wrapText="1"/>
    </xf>
    <xf numFmtId="0" fontId="10" fillId="5" borderId="235" xfId="1" applyFont="1" applyFill="1" applyBorder="1" applyAlignment="1">
      <alignment horizontal="center" vertical="center" wrapText="1"/>
    </xf>
    <xf numFmtId="0" fontId="10" fillId="5" borderId="238" xfId="1" applyFont="1" applyFill="1" applyBorder="1" applyAlignment="1">
      <alignment horizontal="center" vertical="center" wrapText="1"/>
    </xf>
    <xf numFmtId="0" fontId="41" fillId="2" borderId="112" xfId="0" applyFont="1" applyFill="1" applyBorder="1" applyAlignment="1" applyProtection="1">
      <alignment horizontal="left" vertical="center"/>
      <protection locked="0"/>
    </xf>
    <xf numFmtId="0" fontId="41" fillId="2" borderId="113" xfId="0" applyFont="1" applyFill="1" applyBorder="1" applyAlignment="1" applyProtection="1">
      <alignment horizontal="left" vertical="center"/>
      <protection locked="0"/>
    </xf>
    <xf numFmtId="0" fontId="10" fillId="5" borderId="237" xfId="1" applyFont="1" applyFill="1" applyBorder="1" applyAlignment="1">
      <alignment horizontal="center" vertical="center" wrapText="1"/>
    </xf>
    <xf numFmtId="0" fontId="32" fillId="2" borderId="42" xfId="0" applyFont="1" applyFill="1" applyBorder="1" applyAlignment="1">
      <alignment horizontal="left" vertical="center"/>
    </xf>
    <xf numFmtId="0" fontId="32" fillId="2" borderId="43" xfId="0" applyFont="1" applyFill="1" applyBorder="1" applyAlignment="1">
      <alignment horizontal="left" vertical="center"/>
    </xf>
    <xf numFmtId="0" fontId="32" fillId="2" borderId="44" xfId="0" applyFont="1" applyFill="1" applyBorder="1" applyAlignment="1">
      <alignment horizontal="left" vertical="center"/>
    </xf>
    <xf numFmtId="0" fontId="41" fillId="2" borderId="109" xfId="0" applyFont="1" applyFill="1" applyBorder="1" applyAlignment="1" applyProtection="1">
      <alignment horizontal="left" vertical="center"/>
      <protection locked="0"/>
    </xf>
    <xf numFmtId="0" fontId="41" fillId="2" borderId="110" xfId="0" applyFont="1" applyFill="1" applyBorder="1" applyAlignment="1" applyProtection="1">
      <alignment horizontal="left" vertical="center"/>
      <protection locked="0"/>
    </xf>
    <xf numFmtId="0" fontId="41" fillId="2" borderId="111" xfId="0" applyFont="1" applyFill="1" applyBorder="1" applyAlignment="1" applyProtection="1">
      <alignment horizontal="left" vertical="center"/>
      <protection locked="0"/>
    </xf>
    <xf numFmtId="0" fontId="41" fillId="2" borderId="49" xfId="0" applyFont="1" applyFill="1" applyBorder="1" applyAlignment="1" applyProtection="1">
      <alignment horizontal="left" vertical="center"/>
      <protection locked="0"/>
    </xf>
    <xf numFmtId="0" fontId="37" fillId="5" borderId="55" xfId="0" applyFont="1" applyFill="1" applyBorder="1" applyAlignment="1">
      <alignment horizontal="center" vertical="center" wrapText="1"/>
    </xf>
    <xf numFmtId="0" fontId="37" fillId="5" borderId="56" xfId="0" applyFont="1" applyFill="1" applyBorder="1" applyAlignment="1">
      <alignment horizontal="center" vertical="center" wrapText="1"/>
    </xf>
    <xf numFmtId="3" fontId="38" fillId="2" borderId="241" xfId="0" applyNumberFormat="1" applyFont="1" applyFill="1" applyBorder="1" applyAlignment="1">
      <alignment horizontal="right" vertical="center"/>
    </xf>
    <xf numFmtId="3" fontId="38" fillId="2" borderId="242" xfId="0" applyNumberFormat="1" applyFont="1" applyFill="1" applyBorder="1" applyAlignment="1">
      <alignment horizontal="right" vertical="center"/>
    </xf>
    <xf numFmtId="0" fontId="31" fillId="2" borderId="243" xfId="0" applyFont="1" applyFill="1" applyBorder="1" applyAlignment="1">
      <alignment horizontal="right" vertical="center"/>
    </xf>
    <xf numFmtId="0" fontId="31" fillId="2" borderId="244" xfId="0" applyFont="1" applyFill="1" applyBorder="1" applyAlignment="1">
      <alignment horizontal="right" vertical="center"/>
    </xf>
    <xf numFmtId="4" fontId="38" fillId="2" borderId="153" xfId="0" applyNumberFormat="1" applyFont="1" applyFill="1" applyBorder="1" applyAlignment="1">
      <alignment horizontal="right" vertical="center"/>
    </xf>
    <xf numFmtId="4" fontId="38" fillId="2" borderId="245" xfId="0" applyNumberFormat="1" applyFont="1" applyFill="1" applyBorder="1" applyAlignment="1">
      <alignment horizontal="right" vertical="center"/>
    </xf>
    <xf numFmtId="4" fontId="38" fillId="2" borderId="246" xfId="0" applyNumberFormat="1" applyFont="1" applyFill="1" applyBorder="1" applyAlignment="1">
      <alignment horizontal="right" vertical="center"/>
    </xf>
    <xf numFmtId="4" fontId="38" fillId="2" borderId="247" xfId="0" applyNumberFormat="1" applyFont="1" applyFill="1" applyBorder="1" applyAlignment="1">
      <alignment horizontal="right" vertical="center"/>
    </xf>
    <xf numFmtId="4" fontId="31" fillId="2" borderId="42" xfId="0" applyNumberFormat="1" applyFont="1" applyFill="1" applyBorder="1" applyAlignment="1">
      <alignment horizontal="right" vertical="center"/>
    </xf>
    <xf numFmtId="4" fontId="31" fillId="2" borderId="43" xfId="0" applyNumberFormat="1" applyFont="1" applyFill="1" applyBorder="1" applyAlignment="1">
      <alignment horizontal="right" vertical="center"/>
    </xf>
    <xf numFmtId="0" fontId="37" fillId="5" borderId="58" xfId="0" applyFont="1" applyFill="1" applyBorder="1" applyAlignment="1">
      <alignment horizontal="center" vertical="center" wrapText="1"/>
    </xf>
    <xf numFmtId="0" fontId="37" fillId="5" borderId="59" xfId="0" applyFont="1" applyFill="1" applyBorder="1" applyAlignment="1">
      <alignment horizontal="center" vertical="center" wrapText="1"/>
    </xf>
    <xf numFmtId="0" fontId="32" fillId="2" borderId="109" xfId="0" applyFont="1" applyFill="1" applyBorder="1" applyAlignment="1" applyProtection="1">
      <alignment horizontal="left" vertical="center"/>
      <protection locked="0"/>
    </xf>
    <xf numFmtId="0" fontId="32" fillId="2" borderId="110" xfId="0" applyFont="1" applyFill="1" applyBorder="1" applyAlignment="1" applyProtection="1">
      <alignment horizontal="left" vertical="center"/>
      <protection locked="0"/>
    </xf>
    <xf numFmtId="0" fontId="31" fillId="2" borderId="42" xfId="0" applyFont="1" applyFill="1" applyBorder="1" applyAlignment="1">
      <alignment horizontal="center" vertical="center"/>
    </xf>
    <xf numFmtId="0" fontId="31" fillId="2" borderId="43" xfId="0" applyFont="1" applyFill="1" applyBorder="1" applyAlignment="1">
      <alignment horizontal="center" vertical="center"/>
    </xf>
    <xf numFmtId="0" fontId="31" fillId="2" borderId="44" xfId="0" applyFont="1" applyFill="1" applyBorder="1" applyAlignment="1">
      <alignment horizontal="center" vertical="center"/>
    </xf>
    <xf numFmtId="0" fontId="32" fillId="2" borderId="112" xfId="0" applyFont="1" applyFill="1" applyBorder="1" applyAlignment="1">
      <alignment horizontal="left" vertical="center" wrapText="1" indent="1"/>
    </xf>
    <xf numFmtId="0" fontId="32" fillId="2" borderId="115" xfId="0" applyFont="1" applyFill="1" applyBorder="1" applyAlignment="1">
      <alignment horizontal="left" vertical="center" wrapText="1" indent="1"/>
    </xf>
    <xf numFmtId="0" fontId="32" fillId="2" borderId="113" xfId="0" applyFont="1" applyFill="1" applyBorder="1" applyAlignment="1">
      <alignment horizontal="left" vertical="center" wrapText="1" indent="1"/>
    </xf>
    <xf numFmtId="0" fontId="31" fillId="2" borderId="112" xfId="0" applyFont="1" applyFill="1" applyBorder="1" applyAlignment="1">
      <alignment horizontal="left" vertical="center" wrapText="1"/>
    </xf>
    <xf numFmtId="0" fontId="31" fillId="2" borderId="115" xfId="0" applyFont="1" applyFill="1" applyBorder="1" applyAlignment="1">
      <alignment horizontal="left" vertical="center" wrapText="1"/>
    </xf>
    <xf numFmtId="0" fontId="31" fillId="2" borderId="113" xfId="0" applyFont="1" applyFill="1" applyBorder="1" applyAlignment="1">
      <alignment horizontal="left" vertical="center" wrapText="1"/>
    </xf>
    <xf numFmtId="0" fontId="31" fillId="2" borderId="248" xfId="0" applyFont="1" applyFill="1" applyBorder="1" applyAlignment="1">
      <alignment horizontal="left" vertical="center" wrapText="1"/>
    </xf>
    <xf numFmtId="0" fontId="31" fillId="2" borderId="249" xfId="0" applyFont="1" applyFill="1" applyBorder="1" applyAlignment="1">
      <alignment horizontal="left" vertical="center" wrapText="1"/>
    </xf>
    <xf numFmtId="0" fontId="31" fillId="2" borderId="250" xfId="0" applyFont="1" applyFill="1" applyBorder="1" applyAlignment="1">
      <alignment horizontal="left" vertical="center" wrapText="1"/>
    </xf>
    <xf numFmtId="0" fontId="10" fillId="5" borderId="55" xfId="1" applyFont="1" applyFill="1" applyBorder="1" applyAlignment="1">
      <alignment horizontal="center" wrapText="1"/>
    </xf>
    <xf numFmtId="0" fontId="10" fillId="5" borderId="71" xfId="1" applyFont="1" applyFill="1" applyBorder="1" applyAlignment="1">
      <alignment horizontal="center" wrapText="1"/>
    </xf>
    <xf numFmtId="0" fontId="10" fillId="5" borderId="56" xfId="1" applyFont="1" applyFill="1" applyBorder="1" applyAlignment="1">
      <alignment horizontal="center" wrapText="1"/>
    </xf>
    <xf numFmtId="0" fontId="31" fillId="5" borderId="58" xfId="0" applyFont="1" applyFill="1" applyBorder="1" applyAlignment="1">
      <alignment horizontal="center"/>
    </xf>
    <xf numFmtId="0" fontId="31" fillId="5" borderId="72" xfId="0" applyFont="1" applyFill="1" applyBorder="1" applyAlignment="1">
      <alignment horizontal="center"/>
    </xf>
    <xf numFmtId="0" fontId="31" fillId="5" borderId="59" xfId="0" applyFont="1" applyFill="1" applyBorder="1" applyAlignment="1">
      <alignment horizontal="center"/>
    </xf>
    <xf numFmtId="4" fontId="31" fillId="2" borderId="251" xfId="0" applyNumberFormat="1" applyFont="1" applyFill="1" applyBorder="1" applyAlignment="1">
      <alignment horizontal="left" vertical="center" wrapText="1"/>
    </xf>
    <xf numFmtId="4" fontId="31" fillId="2" borderId="27" xfId="0" applyNumberFormat="1" applyFont="1" applyFill="1" applyBorder="1" applyAlignment="1">
      <alignment horizontal="left" vertical="center" wrapText="1"/>
    </xf>
    <xf numFmtId="4" fontId="31" fillId="2" borderId="155" xfId="0" applyNumberFormat="1" applyFont="1" applyFill="1" applyBorder="1" applyAlignment="1">
      <alignment horizontal="left" vertical="center" wrapText="1"/>
    </xf>
    <xf numFmtId="0" fontId="24" fillId="2" borderId="0" xfId="0" applyFont="1" applyFill="1" applyAlignment="1">
      <alignment horizontal="left" vertical="center" wrapText="1"/>
    </xf>
    <xf numFmtId="0" fontId="32" fillId="2" borderId="112" xfId="0" applyFont="1" applyFill="1" applyBorder="1" applyAlignment="1">
      <alignment horizontal="left" vertical="center" wrapText="1"/>
    </xf>
    <xf numFmtId="0" fontId="32" fillId="2" borderId="115" xfId="0" applyFont="1" applyFill="1" applyBorder="1" applyAlignment="1">
      <alignment horizontal="left" vertical="center" wrapText="1"/>
    </xf>
    <xf numFmtId="0" fontId="32" fillId="2" borderId="113" xfId="0" applyFont="1" applyFill="1" applyBorder="1" applyAlignment="1">
      <alignment horizontal="left" vertical="center" wrapText="1"/>
    </xf>
    <xf numFmtId="4" fontId="31" fillId="2" borderId="248" xfId="0" applyNumberFormat="1" applyFont="1" applyFill="1" applyBorder="1" applyAlignment="1">
      <alignment horizontal="left" vertical="center" wrapText="1"/>
    </xf>
    <xf numFmtId="4" fontId="31" fillId="2" borderId="249" xfId="0" applyNumberFormat="1" applyFont="1" applyFill="1" applyBorder="1" applyAlignment="1">
      <alignment horizontal="left" vertical="center" wrapText="1"/>
    </xf>
    <xf numFmtId="4" fontId="31" fillId="2" borderId="250" xfId="0" applyNumberFormat="1" applyFont="1" applyFill="1" applyBorder="1" applyAlignment="1">
      <alignment horizontal="left" vertical="center" wrapText="1"/>
    </xf>
    <xf numFmtId="0" fontId="32" fillId="2" borderId="127" xfId="0" applyFont="1" applyFill="1" applyBorder="1" applyAlignment="1">
      <alignment horizontal="left" vertical="center" wrapText="1" indent="1"/>
    </xf>
    <xf numFmtId="0" fontId="32" fillId="2" borderId="252" xfId="0" applyFont="1" applyFill="1" applyBorder="1" applyAlignment="1">
      <alignment horizontal="left" vertical="center" wrapText="1" indent="1"/>
    </xf>
    <xf numFmtId="0" fontId="32" fillId="2" borderId="126" xfId="0" applyFont="1" applyFill="1" applyBorder="1" applyAlignment="1">
      <alignment horizontal="left" vertical="center" wrapText="1" indent="1"/>
    </xf>
    <xf numFmtId="0" fontId="10" fillId="5" borderId="53" xfId="1" applyFont="1" applyFill="1" applyBorder="1" applyAlignment="1">
      <alignment horizontal="right" wrapText="1"/>
    </xf>
    <xf numFmtId="0" fontId="10" fillId="5" borderId="50" xfId="1" applyFont="1" applyFill="1" applyBorder="1" applyAlignment="1">
      <alignment horizontal="right" wrapText="1"/>
    </xf>
    <xf numFmtId="0" fontId="31" fillId="2" borderId="123" xfId="0" applyFont="1" applyFill="1" applyBorder="1" applyAlignment="1">
      <alignment horizontal="left" vertical="center" wrapText="1"/>
    </xf>
    <xf numFmtId="0" fontId="31" fillId="2" borderId="114" xfId="0" applyFont="1" applyFill="1" applyBorder="1" applyAlignment="1">
      <alignment horizontal="left" vertical="center" wrapText="1"/>
    </xf>
    <xf numFmtId="0" fontId="31" fillId="2" borderId="52" xfId="0" applyFont="1" applyFill="1" applyBorder="1" applyAlignment="1">
      <alignment horizontal="left" vertical="center" wrapText="1"/>
    </xf>
    <xf numFmtId="0" fontId="31" fillId="5" borderId="55" xfId="0" applyFont="1" applyFill="1" applyBorder="1" applyAlignment="1">
      <alignment horizontal="center"/>
    </xf>
    <xf numFmtId="0" fontId="31" fillId="5" borderId="71" xfId="0" applyFont="1" applyFill="1" applyBorder="1" applyAlignment="1">
      <alignment horizontal="center"/>
    </xf>
    <xf numFmtId="0" fontId="31" fillId="5" borderId="56" xfId="0" applyFont="1" applyFill="1" applyBorder="1" applyAlignment="1">
      <alignment horizontal="center"/>
    </xf>
    <xf numFmtId="0" fontId="31" fillId="2" borderId="67" xfId="0" applyFont="1" applyFill="1" applyBorder="1" applyAlignment="1">
      <alignment horizontal="center"/>
    </xf>
    <xf numFmtId="0" fontId="31" fillId="2" borderId="0" xfId="0" applyFont="1" applyFill="1" applyAlignment="1">
      <alignment horizontal="center"/>
    </xf>
    <xf numFmtId="0" fontId="31" fillId="2" borderId="75" xfId="0" applyFont="1" applyFill="1" applyBorder="1" applyAlignment="1">
      <alignment horizontal="center"/>
    </xf>
    <xf numFmtId="0" fontId="8" fillId="2" borderId="0" xfId="0" applyFont="1" applyFill="1" applyAlignment="1">
      <alignment horizontal="left" vertical="center" wrapText="1"/>
    </xf>
    <xf numFmtId="0" fontId="31" fillId="2" borderId="42" xfId="0" applyFont="1" applyFill="1" applyBorder="1" applyAlignment="1">
      <alignment horizontal="left"/>
    </xf>
    <xf numFmtId="0" fontId="31" fillId="2" borderId="44" xfId="0" applyFont="1" applyFill="1" applyBorder="1" applyAlignment="1">
      <alignment horizontal="left"/>
    </xf>
    <xf numFmtId="0" fontId="0" fillId="0" borderId="64" xfId="0" applyBorder="1" applyAlignment="1">
      <alignment horizontal="center" vertical="center"/>
    </xf>
    <xf numFmtId="0" fontId="31" fillId="2" borderId="43" xfId="0" applyFont="1" applyFill="1" applyBorder="1" applyAlignment="1">
      <alignment horizontal="left"/>
    </xf>
    <xf numFmtId="0" fontId="33" fillId="5" borderId="53" xfId="0" applyFont="1" applyFill="1" applyBorder="1" applyAlignment="1">
      <alignment horizontal="center" vertical="center"/>
    </xf>
    <xf numFmtId="0" fontId="33" fillId="5" borderId="50" xfId="0" applyFont="1" applyFill="1" applyBorder="1" applyAlignment="1">
      <alignment horizontal="center" vertical="center"/>
    </xf>
    <xf numFmtId="0" fontId="33" fillId="5" borderId="64" xfId="0" applyFont="1" applyFill="1" applyBorder="1" applyAlignment="1">
      <alignment horizontal="center" vertical="center"/>
    </xf>
    <xf numFmtId="0" fontId="31" fillId="5" borderId="53" xfId="0" applyFont="1" applyFill="1" applyBorder="1" applyAlignment="1">
      <alignment horizontal="left" vertical="center"/>
    </xf>
    <xf numFmtId="0" fontId="31" fillId="5" borderId="64" xfId="0" applyFont="1" applyFill="1" applyBorder="1" applyAlignment="1">
      <alignment horizontal="left" vertical="center"/>
    </xf>
    <xf numFmtId="4" fontId="31" fillId="2" borderId="42" xfId="0" applyNumberFormat="1" applyFont="1" applyFill="1" applyBorder="1" applyAlignment="1">
      <alignment horizontal="left"/>
    </xf>
    <xf numFmtId="4" fontId="31" fillId="2" borderId="44" xfId="0" applyNumberFormat="1" applyFont="1" applyFill="1" applyBorder="1" applyAlignment="1">
      <alignment horizontal="left"/>
    </xf>
    <xf numFmtId="4" fontId="32" fillId="2" borderId="123" xfId="0" applyNumberFormat="1" applyFont="1" applyFill="1" applyBorder="1" applyAlignment="1" applyProtection="1">
      <alignment horizontal="left" vertical="center"/>
      <protection locked="0"/>
    </xf>
    <xf numFmtId="4" fontId="32" fillId="2" borderId="52" xfId="0" applyNumberFormat="1" applyFont="1" applyFill="1" applyBorder="1" applyAlignment="1" applyProtection="1">
      <alignment horizontal="left" vertical="center"/>
      <protection locked="0"/>
    </xf>
    <xf numFmtId="0" fontId="31" fillId="2" borderId="53" xfId="0" applyFont="1" applyFill="1" applyBorder="1" applyAlignment="1">
      <alignment horizontal="left"/>
    </xf>
    <xf numFmtId="0" fontId="31" fillId="2" borderId="64" xfId="0" applyFont="1" applyFill="1" applyBorder="1" applyAlignment="1">
      <alignment horizontal="left"/>
    </xf>
    <xf numFmtId="0" fontId="49" fillId="6" borderId="253" xfId="0" applyFont="1" applyFill="1" applyBorder="1" applyAlignment="1">
      <alignment horizontal="left"/>
    </xf>
    <xf numFmtId="0" fontId="49" fillId="6" borderId="76" xfId="0" applyFont="1" applyFill="1" applyBorder="1" applyAlignment="1">
      <alignment horizontal="left"/>
    </xf>
    <xf numFmtId="0" fontId="32" fillId="2" borderId="0" xfId="0" applyFont="1" applyFill="1" applyAlignment="1">
      <alignment horizontal="left" vertical="center" wrapText="1"/>
    </xf>
    <xf numFmtId="0" fontId="50" fillId="6" borderId="253" xfId="0" applyFont="1" applyFill="1" applyBorder="1" applyAlignment="1">
      <alignment horizontal="left"/>
    </xf>
    <xf numFmtId="0" fontId="50" fillId="6" borderId="76" xfId="0" applyFont="1" applyFill="1" applyBorder="1" applyAlignment="1">
      <alignment horizontal="left"/>
    </xf>
    <xf numFmtId="4" fontId="41" fillId="2" borderId="27" xfId="0" applyNumberFormat="1" applyFont="1" applyFill="1" applyBorder="1" applyAlignment="1">
      <alignment horizontal="left"/>
    </xf>
    <xf numFmtId="4" fontId="50" fillId="10" borderId="253" xfId="0" applyNumberFormat="1" applyFont="1" applyFill="1" applyBorder="1" applyAlignment="1">
      <alignment horizontal="left" vertical="center"/>
    </xf>
    <xf numFmtId="4" fontId="50" fillId="10" borderId="76" xfId="0" applyNumberFormat="1" applyFont="1" applyFill="1" applyBorder="1" applyAlignment="1">
      <alignment horizontal="left" vertical="center"/>
    </xf>
    <xf numFmtId="4" fontId="33" fillId="5" borderId="53" xfId="0" applyNumberFormat="1" applyFont="1" applyFill="1" applyBorder="1" applyAlignment="1">
      <alignment horizontal="left" vertical="center"/>
    </xf>
    <xf numFmtId="4" fontId="33" fillId="5" borderId="64" xfId="0" applyNumberFormat="1" applyFont="1" applyFill="1" applyBorder="1" applyAlignment="1">
      <alignment horizontal="left" vertical="center"/>
    </xf>
    <xf numFmtId="4" fontId="65" fillId="8" borderId="253" xfId="0" applyNumberFormat="1" applyFont="1" applyFill="1" applyBorder="1" applyAlignment="1">
      <alignment horizontal="left"/>
    </xf>
    <xf numFmtId="4" fontId="65" fillId="8" borderId="76" xfId="0" applyNumberFormat="1" applyFont="1" applyFill="1" applyBorder="1" applyAlignment="1">
      <alignment horizontal="left"/>
    </xf>
    <xf numFmtId="4" fontId="33" fillId="9" borderId="53" xfId="0" applyNumberFormat="1" applyFont="1" applyFill="1" applyBorder="1" applyAlignment="1">
      <alignment horizontal="left" vertical="center"/>
    </xf>
    <xf numFmtId="4" fontId="33" fillId="9" borderId="64" xfId="0" applyNumberFormat="1" applyFont="1" applyFill="1" applyBorder="1" applyAlignment="1">
      <alignment horizontal="left" vertical="center"/>
    </xf>
    <xf numFmtId="4" fontId="35" fillId="5" borderId="53" xfId="0" applyNumberFormat="1" applyFont="1" applyFill="1" applyBorder="1" applyAlignment="1">
      <alignment horizontal="center" vertical="center"/>
    </xf>
    <xf numFmtId="4" fontId="35" fillId="5" borderId="64" xfId="0" applyNumberFormat="1" applyFont="1" applyFill="1" applyBorder="1" applyAlignment="1">
      <alignment horizontal="center" vertical="center"/>
    </xf>
    <xf numFmtId="4" fontId="33" fillId="5" borderId="53" xfId="0" applyNumberFormat="1" applyFont="1" applyFill="1" applyBorder="1" applyAlignment="1">
      <alignment vertical="center"/>
    </xf>
    <xf numFmtId="4" fontId="33" fillId="5" borderId="64" xfId="0" applyNumberFormat="1" applyFont="1" applyFill="1" applyBorder="1" applyAlignment="1">
      <alignment vertical="center"/>
    </xf>
    <xf numFmtId="4" fontId="50" fillId="8" borderId="253" xfId="0" applyNumberFormat="1" applyFont="1" applyFill="1" applyBorder="1" applyAlignment="1">
      <alignment horizontal="left" vertical="center"/>
    </xf>
    <xf numFmtId="4" fontId="50" fillId="8" borderId="76" xfId="0" applyNumberFormat="1" applyFont="1" applyFill="1" applyBorder="1" applyAlignment="1">
      <alignment horizontal="left" vertical="center"/>
    </xf>
    <xf numFmtId="4" fontId="31" fillId="11" borderId="53" xfId="0" applyNumberFormat="1" applyFont="1" applyFill="1" applyBorder="1" applyAlignment="1">
      <alignment vertical="center"/>
    </xf>
    <xf numFmtId="4" fontId="31" fillId="11" borderId="64" xfId="0" applyNumberFormat="1" applyFont="1" applyFill="1" applyBorder="1" applyAlignment="1">
      <alignment vertical="center"/>
    </xf>
    <xf numFmtId="4" fontId="33" fillId="11" borderId="53" xfId="0" applyNumberFormat="1" applyFont="1" applyFill="1" applyBorder="1" applyAlignment="1">
      <alignment horizontal="left" vertical="center"/>
    </xf>
    <xf numFmtId="4" fontId="33" fillId="11" borderId="64" xfId="0" applyNumberFormat="1" applyFont="1" applyFill="1" applyBorder="1" applyAlignment="1">
      <alignment horizontal="left" vertical="center"/>
    </xf>
    <xf numFmtId="4" fontId="25" fillId="2" borderId="254" xfId="0" applyNumberFormat="1" applyFont="1" applyFill="1" applyBorder="1" applyAlignment="1">
      <alignment horizontal="right" vertical="center"/>
    </xf>
    <xf numFmtId="4" fontId="25" fillId="2" borderId="255" xfId="0" applyNumberFormat="1" applyFont="1" applyFill="1" applyBorder="1" applyAlignment="1">
      <alignment horizontal="right" vertical="center"/>
    </xf>
    <xf numFmtId="4" fontId="25" fillId="2" borderId="256" xfId="0" applyNumberFormat="1" applyFont="1" applyFill="1" applyBorder="1" applyAlignment="1">
      <alignment horizontal="right" vertical="center"/>
    </xf>
    <xf numFmtId="3" fontId="34" fillId="5" borderId="0" xfId="0" applyNumberFormat="1" applyFont="1" applyFill="1" applyAlignment="1">
      <alignment horizontal="center" vertical="center"/>
    </xf>
    <xf numFmtId="4" fontId="31" fillId="4" borderId="0" xfId="0" applyNumberFormat="1" applyFont="1" applyFill="1" applyAlignment="1">
      <alignment horizontal="left" vertical="center" wrapText="1"/>
    </xf>
  </cellXfs>
  <cellStyles count="3">
    <cellStyle name="Normal" xfId="0" builtinId="0"/>
    <cellStyle name="Normal 2" xfId="1" xr:uid="{ED78E254-9969-4CB7-969D-372C961CC191}"/>
    <cellStyle name="Porcentaje" xfId="2" builtinId="5"/>
  </cellStyles>
  <dxfs count="52"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0"/>
        <name val="Arial"/>
        <scheme val="none"/>
      </font>
      <fill>
        <patternFill patternType="solid">
          <fgColor indexed="64"/>
          <bgColor theme="0"/>
        </patternFill>
      </fill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0"/>
        <name val="Arial"/>
        <scheme val="none"/>
      </font>
      <fill>
        <patternFill patternType="solid">
          <fgColor indexed="64"/>
          <bgColor theme="0"/>
        </patternFill>
      </fill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0"/>
        <name val="Arial"/>
        <scheme val="none"/>
      </font>
      <fill>
        <patternFill patternType="solid">
          <fgColor indexed="64"/>
          <bgColor theme="0"/>
        </patternFill>
      </fill>
      <border diagonalUp="0" diagonalDown="0">
        <left style="thin">
          <color indexed="64"/>
        </left>
        <right style="thin">
          <color indexed="64"/>
        </right>
        <top/>
        <bottom/>
      </border>
      <protection locked="1" hidden="0"/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scheme val="none"/>
      </font>
      <fill>
        <patternFill patternType="none">
          <fgColor indexed="64"/>
          <bgColor indexed="65"/>
        </patternFill>
      </fill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scheme val="none"/>
      </font>
      <fill>
        <patternFill patternType="none">
          <fgColor indexed="64"/>
          <bgColor indexed="65"/>
        </patternFill>
      </fill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scheme val="none"/>
      </font>
      <fill>
        <patternFill patternType="none">
          <fgColor indexed="64"/>
          <bgColor indexed="65"/>
        </patternFill>
      </fill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scheme val="none"/>
      </font>
      <fill>
        <patternFill patternType="none">
          <fgColor indexed="64"/>
          <bgColor indexed="65"/>
        </patternFill>
      </fill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scheme val="none"/>
      </font>
      <fill>
        <patternFill patternType="none">
          <fgColor indexed="64"/>
          <bgColor indexed="65"/>
        </patternFill>
      </fill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scheme val="none"/>
      </font>
      <fill>
        <patternFill patternType="none">
          <fgColor indexed="64"/>
          <bgColor indexed="65"/>
        </patternFill>
      </fill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scheme val="none"/>
      </font>
      <fill>
        <patternFill patternType="none">
          <fgColor indexed="64"/>
          <bgColor indexed="65"/>
        </patternFill>
      </fill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scheme val="none"/>
      </font>
      <fill>
        <patternFill patternType="none">
          <fgColor indexed="64"/>
          <bgColor indexed="65"/>
        </patternFill>
      </fill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scheme val="none"/>
      </font>
      <fill>
        <patternFill patternType="none">
          <fgColor indexed="64"/>
          <bgColor indexed="65"/>
        </patternFill>
      </fill>
      <alignment horizontal="general" vertical="center" textRotation="0" wrapText="0" indent="0" justifyLastLine="0" shrinkToFit="0" readingOrder="0"/>
    </dxf>
  </dxfs>
  <tableStyles count="0" defaultTableStyle="TableStyleMedium9" defaultPivotStyle="PivotStyleMedium4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worksheet" Target="worksheets/sheet26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34" Type="http://schemas.openxmlformats.org/officeDocument/2006/relationships/customXml" Target="../customXml/item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33" Type="http://schemas.openxmlformats.org/officeDocument/2006/relationships/customXml" Target="../customXml/item2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29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32" Type="http://schemas.openxmlformats.org/officeDocument/2006/relationships/customXml" Target="../customXml/item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theme" Target="theme/theme1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31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30" Type="http://schemas.openxmlformats.org/officeDocument/2006/relationships/sharedStrings" Target="sharedStrings.xml"/><Relationship Id="rId8" Type="http://schemas.openxmlformats.org/officeDocument/2006/relationships/worksheet" Target="worksheets/sheet8.xml"/></Relationships>
</file>

<file path=xl/drawings/_rels/drawing1.xml.rels><?xml version="1.0" encoding="UTF-8" standalone="yes"?>
<Relationships xmlns="http://schemas.openxmlformats.org/package/2006/relationships"><Relationship Id="rId8" Type="http://schemas.openxmlformats.org/officeDocument/2006/relationships/hyperlink" Target="#'FC-90'!E16"/><Relationship Id="rId13" Type="http://schemas.openxmlformats.org/officeDocument/2006/relationships/hyperlink" Target="#'FC-6_Inversiones'!C16"/><Relationship Id="rId18" Type="http://schemas.openxmlformats.org/officeDocument/2006/relationships/hyperlink" Target="#'FC-11_DEUDA_VIVA'!F17"/><Relationship Id="rId26" Type="http://schemas.openxmlformats.org/officeDocument/2006/relationships/hyperlink" Target="#'FC-9_1_SUBV_REINT'!C21"/><Relationship Id="rId3" Type="http://schemas.openxmlformats.org/officeDocument/2006/relationships/hyperlink" Target="#_GENERAL!D13"/><Relationship Id="rId21" Type="http://schemas.openxmlformats.org/officeDocument/2006/relationships/hyperlink" Target="#'FC-14_OPER_INTERNAS'!F17"/><Relationship Id="rId7" Type="http://schemas.openxmlformats.org/officeDocument/2006/relationships/hyperlink" Target="#'FC-3_CPyG'!E17"/><Relationship Id="rId12" Type="http://schemas.openxmlformats.org/officeDocument/2006/relationships/hyperlink" Target="#'FC-5_EFE'!F18"/><Relationship Id="rId17" Type="http://schemas.openxmlformats.org/officeDocument/2006/relationships/hyperlink" Target="#'FC-10_DEUDAS'!C18"/><Relationship Id="rId25" Type="http://schemas.openxmlformats.org/officeDocument/2006/relationships/hyperlink" Target="#'_FC-17_FINANCIACI&#211;N'!A1"/><Relationship Id="rId2" Type="http://schemas.openxmlformats.org/officeDocument/2006/relationships/hyperlink" Target="#'FC-3_1_INF_ADIC_CPyG'!E17"/><Relationship Id="rId16" Type="http://schemas.openxmlformats.org/officeDocument/2006/relationships/hyperlink" Target="#'FC-9_TRANS_SUBV'!C21"/><Relationship Id="rId20" Type="http://schemas.openxmlformats.org/officeDocument/2006/relationships/hyperlink" Target="#'FC-13_PERSONAL'!E39"/><Relationship Id="rId1" Type="http://schemas.openxmlformats.org/officeDocument/2006/relationships/image" Target="../media/image1.png"/><Relationship Id="rId6" Type="http://schemas.openxmlformats.org/officeDocument/2006/relationships/hyperlink" Target="#'FC-2_ACCIONISTAS'!C17"/><Relationship Id="rId11" Type="http://schemas.openxmlformats.org/officeDocument/2006/relationships/hyperlink" Target="#'FC-4_1_MOV_FP'!F18"/><Relationship Id="rId24" Type="http://schemas.openxmlformats.org/officeDocument/2006/relationships/hyperlink" Target="#'_FC-16_1_ INF_ADIC_ESTAB_PRESUP'!A1"/><Relationship Id="rId5" Type="http://schemas.openxmlformats.org/officeDocument/2006/relationships/hyperlink" Target="#'FC-1_ORGANOS_GOBIERNO'!H16"/><Relationship Id="rId15" Type="http://schemas.openxmlformats.org/officeDocument/2006/relationships/hyperlink" Target="#'FC-8_INV_FINANCIERAS'!C18"/><Relationship Id="rId23" Type="http://schemas.openxmlformats.org/officeDocument/2006/relationships/hyperlink" Target="#'_FC-16_ESTAB_PRESUP'!E27"/><Relationship Id="rId10" Type="http://schemas.openxmlformats.org/officeDocument/2006/relationships/hyperlink" Target="#'FC-4_PASIVO'!E19"/><Relationship Id="rId19" Type="http://schemas.openxmlformats.org/officeDocument/2006/relationships/hyperlink" Target="#'FC-12_PERFIL_VTO_DEUDA'!E15"/><Relationship Id="rId4" Type="http://schemas.openxmlformats.org/officeDocument/2006/relationships/hyperlink" Target="#_CHECK_LIST!E15"/><Relationship Id="rId9" Type="http://schemas.openxmlformats.org/officeDocument/2006/relationships/hyperlink" Target="#'FC-4_ACTIVO'!E18"/><Relationship Id="rId14" Type="http://schemas.openxmlformats.org/officeDocument/2006/relationships/hyperlink" Target="#'FC-7_INF'!E15"/><Relationship Id="rId22" Type="http://schemas.openxmlformats.org/officeDocument/2006/relationships/hyperlink" Target="#'FC-15_ENCARGOS'!C17"/></Relationships>
</file>

<file path=xl/drawings/_rels/drawing10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6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7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8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9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jpeg"/></Relationships>
</file>

<file path=xl/drawings/_rels/drawing20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6.xml.rels><?xml version="1.0" encoding="UTF-8" standalone="yes"?>
<Relationships xmlns="http://schemas.openxmlformats.org/package/2006/relationships"><Relationship Id="rId8" Type="http://schemas.openxmlformats.org/officeDocument/2006/relationships/hyperlink" Target="#'FC-9_TRANS_SUBV'!C21"/><Relationship Id="rId13" Type="http://schemas.openxmlformats.org/officeDocument/2006/relationships/hyperlink" Target="#'FC-14_OPER_INTERNAS'!F17"/><Relationship Id="rId18" Type="http://schemas.openxmlformats.org/officeDocument/2006/relationships/hyperlink" Target="#_GENERAL!D13"/><Relationship Id="rId26" Type="http://schemas.openxmlformats.org/officeDocument/2006/relationships/hyperlink" Target="#'FC-9_1_SUBV_REINT'!C21"/><Relationship Id="rId3" Type="http://schemas.openxmlformats.org/officeDocument/2006/relationships/hyperlink" Target="#'FC-4_PASIVO'!E19"/><Relationship Id="rId21" Type="http://schemas.openxmlformats.org/officeDocument/2006/relationships/hyperlink" Target="#'FC-3_CPyG'!E17"/><Relationship Id="rId7" Type="http://schemas.openxmlformats.org/officeDocument/2006/relationships/hyperlink" Target="#'FC-7_INF'!E15"/><Relationship Id="rId12" Type="http://schemas.openxmlformats.org/officeDocument/2006/relationships/hyperlink" Target="#'FC-13_PERSONAL'!E39"/><Relationship Id="rId17" Type="http://schemas.openxmlformats.org/officeDocument/2006/relationships/hyperlink" Target="#'FC-17_FINANCIACI&#211;N'!E19"/><Relationship Id="rId25" Type="http://schemas.openxmlformats.org/officeDocument/2006/relationships/hyperlink" Target="#'FC-8_INV_FINANCIERAS'!C18"/><Relationship Id="rId2" Type="http://schemas.openxmlformats.org/officeDocument/2006/relationships/hyperlink" Target="#'FC-90'!E16"/><Relationship Id="rId16" Type="http://schemas.openxmlformats.org/officeDocument/2006/relationships/hyperlink" Target="#'FC-16_1_ INF_ADIC_ESTAB_PRESUP'!E15"/><Relationship Id="rId20" Type="http://schemas.openxmlformats.org/officeDocument/2006/relationships/hyperlink" Target="#'FC-2_ACCIONISTAS'!C17"/><Relationship Id="rId1" Type="http://schemas.openxmlformats.org/officeDocument/2006/relationships/image" Target="../media/image1.png"/><Relationship Id="rId6" Type="http://schemas.openxmlformats.org/officeDocument/2006/relationships/hyperlink" Target="#'FC-6_Inversiones'!C16"/><Relationship Id="rId11" Type="http://schemas.openxmlformats.org/officeDocument/2006/relationships/hyperlink" Target="#'FC-12_PERFIL_VTO_DEUDA'!E15"/><Relationship Id="rId24" Type="http://schemas.openxmlformats.org/officeDocument/2006/relationships/hyperlink" Target="#'FC-1_ORGANOS_GOBIERNO'!H16"/><Relationship Id="rId5" Type="http://schemas.openxmlformats.org/officeDocument/2006/relationships/hyperlink" Target="#'FC-5_EFE'!F18"/><Relationship Id="rId15" Type="http://schemas.openxmlformats.org/officeDocument/2006/relationships/hyperlink" Target="#'_FC-16_ESTAB_PRESUP'!E27"/><Relationship Id="rId23" Type="http://schemas.openxmlformats.org/officeDocument/2006/relationships/hyperlink" Target="#'FC-4_ACTIVO'!E18"/><Relationship Id="rId10" Type="http://schemas.openxmlformats.org/officeDocument/2006/relationships/hyperlink" Target="#'FC-11_DEUDA_VIVA'!F17"/><Relationship Id="rId19" Type="http://schemas.openxmlformats.org/officeDocument/2006/relationships/hyperlink" Target="#_CHECK_LIST!E15"/><Relationship Id="rId4" Type="http://schemas.openxmlformats.org/officeDocument/2006/relationships/hyperlink" Target="#'FC-4_1_MOV_FP'!F18"/><Relationship Id="rId9" Type="http://schemas.openxmlformats.org/officeDocument/2006/relationships/hyperlink" Target="#'FC-10_DEUDAS'!C18"/><Relationship Id="rId14" Type="http://schemas.openxmlformats.org/officeDocument/2006/relationships/hyperlink" Target="#'FC-15_ENCARGOS'!C17"/><Relationship Id="rId22" Type="http://schemas.openxmlformats.org/officeDocument/2006/relationships/hyperlink" Target="#'FC-3_1_INF_ADIC_CPyG'!E17"/></Relationships>
</file>

<file path=xl/drawings/_rels/drawing27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jpeg"/></Relationships>
</file>

<file path=xl/drawings/_rels/drawing3.xml.rels><?xml version="1.0" encoding="UTF-8" standalone="yes"?>
<Relationships xmlns="http://schemas.openxmlformats.org/package/2006/relationships"><Relationship Id="rId2" Type="http://schemas.openxmlformats.org/officeDocument/2006/relationships/hyperlink" Target="#'FC-4_ACTIVO'!E18"/><Relationship Id="rId1" Type="http://schemas.openxmlformats.org/officeDocument/2006/relationships/image" Target="../media/image2.jpe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jpe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jpe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jpeg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jpeg"/></Relationships>
</file>

<file path=xl/drawings/_rels/drawing9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47625</xdr:colOff>
      <xdr:row>0</xdr:row>
      <xdr:rowOff>200025</xdr:rowOff>
    </xdr:from>
    <xdr:to>
      <xdr:col>2</xdr:col>
      <xdr:colOff>1028700</xdr:colOff>
      <xdr:row>3</xdr:row>
      <xdr:rowOff>38100</xdr:rowOff>
    </xdr:to>
    <xdr:pic>
      <xdr:nvPicPr>
        <xdr:cNvPr id="1025" name="Imagen 5">
          <a:extLst>
            <a:ext uri="{FF2B5EF4-FFF2-40B4-BE49-F238E27FC236}">
              <a16:creationId xmlns:a16="http://schemas.microsoft.com/office/drawing/2014/main" id="{1A81EC8B-AB83-8F97-6E02-D4B56A66861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200025"/>
          <a:ext cx="981075" cy="695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</xdr:col>
      <xdr:colOff>6978</xdr:colOff>
      <xdr:row>25</xdr:row>
      <xdr:rowOff>20934</xdr:rowOff>
    </xdr:from>
    <xdr:to>
      <xdr:col>2</xdr:col>
      <xdr:colOff>655934</xdr:colOff>
      <xdr:row>25</xdr:row>
      <xdr:rowOff>293077</xdr:rowOff>
    </xdr:to>
    <xdr:sp macro="" textlink="">
      <xdr:nvSpPr>
        <xdr:cNvPr id="67" name="Rectángulo redondeado 66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27D7C502-153D-8E6C-B744-4A80E21E79CC}"/>
            </a:ext>
          </a:extLst>
        </xdr:cNvPr>
        <xdr:cNvSpPr/>
      </xdr:nvSpPr>
      <xdr:spPr>
        <a:xfrm>
          <a:off x="593132" y="8101483"/>
          <a:ext cx="648956" cy="272143"/>
        </a:xfrm>
        <a:prstGeom prst="roundRect">
          <a:avLst/>
        </a:prstGeom>
      </xdr:spPr>
      <xdr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xdr:style>
      <xdr:txBody>
        <a:bodyPr rtlCol="0" anchor="ctr"/>
        <a:lstStyle/>
        <a:p>
          <a:pPr algn="l"/>
          <a:r>
            <a:rPr lang="es-ES_tradnl" sz="1000" b="1">
              <a:latin typeface="Arial" panose="020B0604020202020204" pitchFamily="34" charset="0"/>
              <a:cs typeface="Arial" panose="020B0604020202020204" pitchFamily="34" charset="0"/>
            </a:rPr>
            <a:t>FC-3.1</a:t>
          </a:r>
        </a:p>
      </xdr:txBody>
    </xdr:sp>
    <xdr:clientData/>
  </xdr:twoCellAnchor>
  <xdr:twoCellAnchor>
    <xdr:from>
      <xdr:col>2</xdr:col>
      <xdr:colOff>0</xdr:colOff>
      <xdr:row>19</xdr:row>
      <xdr:rowOff>111648</xdr:rowOff>
    </xdr:from>
    <xdr:to>
      <xdr:col>2</xdr:col>
      <xdr:colOff>648956</xdr:colOff>
      <xdr:row>20</xdr:row>
      <xdr:rowOff>272143</xdr:rowOff>
    </xdr:to>
    <xdr:sp macro="" textlink="">
      <xdr:nvSpPr>
        <xdr:cNvPr id="87" name="Rectángulo redondeado 86">
          <a:hlinkClick xmlns:r="http://schemas.openxmlformats.org/officeDocument/2006/relationships" r:id="rId3"/>
          <a:extLst>
            <a:ext uri="{FF2B5EF4-FFF2-40B4-BE49-F238E27FC236}">
              <a16:creationId xmlns:a16="http://schemas.microsoft.com/office/drawing/2014/main" id="{E6541358-18A9-A343-6DC7-C8880EA17E66}"/>
            </a:ext>
          </a:extLst>
        </xdr:cNvPr>
        <xdr:cNvSpPr/>
      </xdr:nvSpPr>
      <xdr:spPr>
        <a:xfrm>
          <a:off x="586154" y="6475604"/>
          <a:ext cx="648956" cy="272143"/>
        </a:xfrm>
        <a:prstGeom prst="roundRect">
          <a:avLst/>
        </a:prstGeom>
      </xdr:spPr>
      <xdr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xdr:style>
      <xdr:txBody>
        <a:bodyPr rtlCol="0" anchor="ctr"/>
        <a:lstStyle/>
        <a:p>
          <a:pPr algn="l"/>
          <a:r>
            <a:rPr lang="es-ES_tradnl" sz="800" b="1">
              <a:latin typeface="Arial" panose="020B0604020202020204" pitchFamily="34" charset="0"/>
              <a:cs typeface="Arial" panose="020B0604020202020204" pitchFamily="34" charset="0"/>
            </a:rPr>
            <a:t>General</a:t>
          </a:r>
        </a:p>
      </xdr:txBody>
    </xdr:sp>
    <xdr:clientData/>
  </xdr:twoCellAnchor>
  <xdr:twoCellAnchor>
    <xdr:from>
      <xdr:col>2</xdr:col>
      <xdr:colOff>0</xdr:colOff>
      <xdr:row>21</xdr:row>
      <xdr:rowOff>13956</xdr:rowOff>
    </xdr:from>
    <xdr:to>
      <xdr:col>2</xdr:col>
      <xdr:colOff>648956</xdr:colOff>
      <xdr:row>21</xdr:row>
      <xdr:rowOff>286099</xdr:rowOff>
    </xdr:to>
    <xdr:sp macro="" textlink="">
      <xdr:nvSpPr>
        <xdr:cNvPr id="88" name="Rectángulo redondeado 87">
          <a:hlinkClick xmlns:r="http://schemas.openxmlformats.org/officeDocument/2006/relationships" r:id="rId4"/>
          <a:extLst>
            <a:ext uri="{FF2B5EF4-FFF2-40B4-BE49-F238E27FC236}">
              <a16:creationId xmlns:a16="http://schemas.microsoft.com/office/drawing/2014/main" id="{15FE70C2-D810-4536-CFD7-1857B977B872}"/>
            </a:ext>
          </a:extLst>
        </xdr:cNvPr>
        <xdr:cNvSpPr/>
      </xdr:nvSpPr>
      <xdr:spPr>
        <a:xfrm>
          <a:off x="586154" y="6810549"/>
          <a:ext cx="648956" cy="272143"/>
        </a:xfrm>
        <a:prstGeom prst="roundRect">
          <a:avLst/>
        </a:prstGeom>
        <a:gradFill flip="none" rotWithShape="1">
          <a:gsLst>
            <a:gs pos="0">
              <a:schemeClr val="accent3">
                <a:lumMod val="67000"/>
              </a:schemeClr>
            </a:gs>
            <a:gs pos="48000">
              <a:schemeClr val="accent3">
                <a:lumMod val="97000"/>
                <a:lumOff val="3000"/>
              </a:schemeClr>
            </a:gs>
            <a:gs pos="100000">
              <a:schemeClr val="accent3">
                <a:lumMod val="60000"/>
                <a:lumOff val="40000"/>
              </a:schemeClr>
            </a:gs>
          </a:gsLst>
          <a:lin ang="16200000" scaled="1"/>
          <a:tileRect/>
        </a:gradFill>
      </xdr:spPr>
      <xdr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xdr:style>
      <xdr:txBody>
        <a:bodyPr rtlCol="0" anchor="ctr"/>
        <a:lstStyle/>
        <a:p>
          <a:pPr algn="l"/>
          <a:r>
            <a:rPr lang="es-ES_tradnl" sz="700" b="1">
              <a:solidFill>
                <a:schemeClr val="bg1"/>
              </a:solidFill>
              <a:latin typeface="Arial" panose="020B0604020202020204" pitchFamily="34" charset="0"/>
              <a:cs typeface="Arial" panose="020B0604020202020204" pitchFamily="34" charset="0"/>
            </a:rPr>
            <a:t>Check list</a:t>
          </a:r>
        </a:p>
      </xdr:txBody>
    </xdr:sp>
    <xdr:clientData/>
  </xdr:twoCellAnchor>
  <xdr:twoCellAnchor>
    <xdr:from>
      <xdr:col>2</xdr:col>
      <xdr:colOff>0</xdr:colOff>
      <xdr:row>22</xdr:row>
      <xdr:rowOff>20934</xdr:rowOff>
    </xdr:from>
    <xdr:to>
      <xdr:col>2</xdr:col>
      <xdr:colOff>648956</xdr:colOff>
      <xdr:row>22</xdr:row>
      <xdr:rowOff>293077</xdr:rowOff>
    </xdr:to>
    <xdr:sp macro="" textlink="">
      <xdr:nvSpPr>
        <xdr:cNvPr id="89" name="Rectángulo redondeado 88">
          <a:hlinkClick xmlns:r="http://schemas.openxmlformats.org/officeDocument/2006/relationships" r:id="rId5"/>
          <a:extLst>
            <a:ext uri="{FF2B5EF4-FFF2-40B4-BE49-F238E27FC236}">
              <a16:creationId xmlns:a16="http://schemas.microsoft.com/office/drawing/2014/main" id="{31828653-F91A-2BB1-6EC0-9C383C04F5A6}"/>
            </a:ext>
          </a:extLst>
        </xdr:cNvPr>
        <xdr:cNvSpPr/>
      </xdr:nvSpPr>
      <xdr:spPr>
        <a:xfrm>
          <a:off x="586154" y="7138516"/>
          <a:ext cx="648956" cy="272143"/>
        </a:xfrm>
        <a:prstGeom prst="roundRect">
          <a:avLst/>
        </a:prstGeom>
      </xdr:spPr>
      <xdr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xdr:style>
      <xdr:txBody>
        <a:bodyPr rtlCol="0" anchor="ctr"/>
        <a:lstStyle/>
        <a:p>
          <a:pPr algn="l"/>
          <a:r>
            <a:rPr lang="es-ES_tradnl" sz="1000" b="1">
              <a:latin typeface="Arial" panose="020B0604020202020204" pitchFamily="34" charset="0"/>
              <a:cs typeface="Arial" panose="020B0604020202020204" pitchFamily="34" charset="0"/>
            </a:rPr>
            <a:t>FC-1</a:t>
          </a:r>
        </a:p>
      </xdr:txBody>
    </xdr:sp>
    <xdr:clientData/>
  </xdr:twoCellAnchor>
  <xdr:twoCellAnchor>
    <xdr:from>
      <xdr:col>2</xdr:col>
      <xdr:colOff>6978</xdr:colOff>
      <xdr:row>23</xdr:row>
      <xdr:rowOff>20934</xdr:rowOff>
    </xdr:from>
    <xdr:to>
      <xdr:col>2</xdr:col>
      <xdr:colOff>655934</xdr:colOff>
      <xdr:row>23</xdr:row>
      <xdr:rowOff>293077</xdr:rowOff>
    </xdr:to>
    <xdr:sp macro="" textlink="">
      <xdr:nvSpPr>
        <xdr:cNvPr id="90" name="Rectángulo redondeado 89">
          <a:hlinkClick xmlns:r="http://schemas.openxmlformats.org/officeDocument/2006/relationships" r:id="rId6"/>
          <a:extLst>
            <a:ext uri="{FF2B5EF4-FFF2-40B4-BE49-F238E27FC236}">
              <a16:creationId xmlns:a16="http://schemas.microsoft.com/office/drawing/2014/main" id="{2BCC12FC-7AFD-486B-BCF4-178FE36DFB19}"/>
            </a:ext>
          </a:extLst>
        </xdr:cNvPr>
        <xdr:cNvSpPr/>
      </xdr:nvSpPr>
      <xdr:spPr>
        <a:xfrm>
          <a:off x="593132" y="8101483"/>
          <a:ext cx="648956" cy="272143"/>
        </a:xfrm>
        <a:prstGeom prst="roundRect">
          <a:avLst/>
        </a:prstGeom>
      </xdr:spPr>
      <xdr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xdr:style>
      <xdr:txBody>
        <a:bodyPr rtlCol="0" anchor="ctr"/>
        <a:lstStyle/>
        <a:p>
          <a:pPr algn="l"/>
          <a:r>
            <a:rPr lang="es-ES_tradnl" sz="1000" b="1">
              <a:latin typeface="Arial" panose="020B0604020202020204" pitchFamily="34" charset="0"/>
              <a:cs typeface="Arial" panose="020B0604020202020204" pitchFamily="34" charset="0"/>
            </a:rPr>
            <a:t>FC-2</a:t>
          </a:r>
        </a:p>
      </xdr:txBody>
    </xdr:sp>
    <xdr:clientData/>
  </xdr:twoCellAnchor>
  <xdr:twoCellAnchor>
    <xdr:from>
      <xdr:col>2</xdr:col>
      <xdr:colOff>6978</xdr:colOff>
      <xdr:row>24</xdr:row>
      <xdr:rowOff>20934</xdr:rowOff>
    </xdr:from>
    <xdr:to>
      <xdr:col>2</xdr:col>
      <xdr:colOff>655934</xdr:colOff>
      <xdr:row>24</xdr:row>
      <xdr:rowOff>293077</xdr:rowOff>
    </xdr:to>
    <xdr:sp macro="" textlink="">
      <xdr:nvSpPr>
        <xdr:cNvPr id="91" name="Rectángulo redondeado 90">
          <a:hlinkClick xmlns:r="http://schemas.openxmlformats.org/officeDocument/2006/relationships" r:id="rId7"/>
          <a:extLst>
            <a:ext uri="{FF2B5EF4-FFF2-40B4-BE49-F238E27FC236}">
              <a16:creationId xmlns:a16="http://schemas.microsoft.com/office/drawing/2014/main" id="{ACB95EE0-B79B-765A-E50C-3A5E40A97EC8}"/>
            </a:ext>
          </a:extLst>
        </xdr:cNvPr>
        <xdr:cNvSpPr/>
      </xdr:nvSpPr>
      <xdr:spPr>
        <a:xfrm>
          <a:off x="593132" y="8101483"/>
          <a:ext cx="648956" cy="272143"/>
        </a:xfrm>
        <a:prstGeom prst="roundRect">
          <a:avLst/>
        </a:prstGeom>
      </xdr:spPr>
      <xdr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xdr:style>
      <xdr:txBody>
        <a:bodyPr rtlCol="0" anchor="ctr"/>
        <a:lstStyle/>
        <a:p>
          <a:pPr algn="l"/>
          <a:r>
            <a:rPr lang="es-ES_tradnl" sz="1000" b="1">
              <a:latin typeface="Arial" panose="020B0604020202020204" pitchFamily="34" charset="0"/>
              <a:cs typeface="Arial" panose="020B0604020202020204" pitchFamily="34" charset="0"/>
            </a:rPr>
            <a:t>FC-3</a:t>
          </a:r>
        </a:p>
      </xdr:txBody>
    </xdr:sp>
    <xdr:clientData/>
  </xdr:twoCellAnchor>
  <xdr:twoCellAnchor>
    <xdr:from>
      <xdr:col>2</xdr:col>
      <xdr:colOff>6978</xdr:colOff>
      <xdr:row>46</xdr:row>
      <xdr:rowOff>20934</xdr:rowOff>
    </xdr:from>
    <xdr:to>
      <xdr:col>2</xdr:col>
      <xdr:colOff>655934</xdr:colOff>
      <xdr:row>46</xdr:row>
      <xdr:rowOff>293077</xdr:rowOff>
    </xdr:to>
    <xdr:sp macro="" textlink="">
      <xdr:nvSpPr>
        <xdr:cNvPr id="92" name="Rectángulo redondeado 91">
          <a:hlinkClick xmlns:r="http://schemas.openxmlformats.org/officeDocument/2006/relationships" r:id="rId8"/>
          <a:extLst>
            <a:ext uri="{FF2B5EF4-FFF2-40B4-BE49-F238E27FC236}">
              <a16:creationId xmlns:a16="http://schemas.microsoft.com/office/drawing/2014/main" id="{EE2613E1-17FD-25AA-96CD-971B0793FF90}"/>
            </a:ext>
          </a:extLst>
        </xdr:cNvPr>
        <xdr:cNvSpPr/>
      </xdr:nvSpPr>
      <xdr:spPr>
        <a:xfrm>
          <a:off x="593132" y="8101483"/>
          <a:ext cx="648956" cy="272143"/>
        </a:xfrm>
        <a:prstGeom prst="roundRect">
          <a:avLst/>
        </a:prstGeom>
      </xdr:spPr>
      <xdr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xdr:style>
      <xdr:txBody>
        <a:bodyPr rtlCol="0" anchor="ctr"/>
        <a:lstStyle/>
        <a:p>
          <a:pPr algn="l"/>
          <a:r>
            <a:rPr lang="es-ES_tradnl" sz="1000" b="1">
              <a:latin typeface="Arial" panose="020B0604020202020204" pitchFamily="34" charset="0"/>
              <a:cs typeface="Arial" panose="020B0604020202020204" pitchFamily="34" charset="0"/>
            </a:rPr>
            <a:t>FC-90</a:t>
          </a:r>
        </a:p>
      </xdr:txBody>
    </xdr:sp>
    <xdr:clientData/>
  </xdr:twoCellAnchor>
  <xdr:twoCellAnchor>
    <xdr:from>
      <xdr:col>2</xdr:col>
      <xdr:colOff>6978</xdr:colOff>
      <xdr:row>26</xdr:row>
      <xdr:rowOff>20934</xdr:rowOff>
    </xdr:from>
    <xdr:to>
      <xdr:col>2</xdr:col>
      <xdr:colOff>655934</xdr:colOff>
      <xdr:row>26</xdr:row>
      <xdr:rowOff>293077</xdr:rowOff>
    </xdr:to>
    <xdr:sp macro="" textlink="">
      <xdr:nvSpPr>
        <xdr:cNvPr id="93" name="Rectángulo redondeado 92">
          <a:hlinkClick xmlns:r="http://schemas.openxmlformats.org/officeDocument/2006/relationships" r:id="rId9"/>
          <a:extLst>
            <a:ext uri="{FF2B5EF4-FFF2-40B4-BE49-F238E27FC236}">
              <a16:creationId xmlns:a16="http://schemas.microsoft.com/office/drawing/2014/main" id="{CA4FC606-E0E7-CA10-69B9-056DD7063881}"/>
            </a:ext>
          </a:extLst>
        </xdr:cNvPr>
        <xdr:cNvSpPr/>
      </xdr:nvSpPr>
      <xdr:spPr>
        <a:xfrm>
          <a:off x="593132" y="13879286"/>
          <a:ext cx="648956" cy="272143"/>
        </a:xfrm>
        <a:prstGeom prst="roundRect">
          <a:avLst/>
        </a:prstGeom>
      </xdr:spPr>
      <xdr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xdr:style>
      <xdr:txBody>
        <a:bodyPr rtlCol="0" anchor="ctr"/>
        <a:lstStyle/>
        <a:p>
          <a:pPr algn="l"/>
          <a:r>
            <a:rPr lang="es-ES_tradnl" sz="1000" b="1">
              <a:latin typeface="Arial" panose="020B0604020202020204" pitchFamily="34" charset="0"/>
              <a:cs typeface="Arial" panose="020B0604020202020204" pitchFamily="34" charset="0"/>
            </a:rPr>
            <a:t>FC-4 A</a:t>
          </a:r>
        </a:p>
      </xdr:txBody>
    </xdr:sp>
    <xdr:clientData/>
  </xdr:twoCellAnchor>
  <xdr:twoCellAnchor>
    <xdr:from>
      <xdr:col>2</xdr:col>
      <xdr:colOff>6978</xdr:colOff>
      <xdr:row>27</xdr:row>
      <xdr:rowOff>20934</xdr:rowOff>
    </xdr:from>
    <xdr:to>
      <xdr:col>2</xdr:col>
      <xdr:colOff>655934</xdr:colOff>
      <xdr:row>27</xdr:row>
      <xdr:rowOff>293077</xdr:rowOff>
    </xdr:to>
    <xdr:sp macro="" textlink="">
      <xdr:nvSpPr>
        <xdr:cNvPr id="94" name="Rectángulo redondeado 93">
          <a:hlinkClick xmlns:r="http://schemas.openxmlformats.org/officeDocument/2006/relationships" r:id="rId10"/>
          <a:extLst>
            <a:ext uri="{FF2B5EF4-FFF2-40B4-BE49-F238E27FC236}">
              <a16:creationId xmlns:a16="http://schemas.microsoft.com/office/drawing/2014/main" id="{8001B95D-1428-D1A8-613F-A2BF76C13129}"/>
            </a:ext>
          </a:extLst>
        </xdr:cNvPr>
        <xdr:cNvSpPr/>
      </xdr:nvSpPr>
      <xdr:spPr>
        <a:xfrm>
          <a:off x="593132" y="14521264"/>
          <a:ext cx="648956" cy="272143"/>
        </a:xfrm>
        <a:prstGeom prst="roundRect">
          <a:avLst/>
        </a:prstGeom>
      </xdr:spPr>
      <xdr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xdr:style>
      <xdr:txBody>
        <a:bodyPr rtlCol="0" anchor="ctr"/>
        <a:lstStyle/>
        <a:p>
          <a:pPr algn="l"/>
          <a:r>
            <a:rPr lang="es-ES_tradnl" sz="1000" b="1">
              <a:latin typeface="Arial" panose="020B0604020202020204" pitchFamily="34" charset="0"/>
              <a:cs typeface="Arial" panose="020B0604020202020204" pitchFamily="34" charset="0"/>
            </a:rPr>
            <a:t>FC-4 P</a:t>
          </a:r>
        </a:p>
      </xdr:txBody>
    </xdr:sp>
    <xdr:clientData/>
  </xdr:twoCellAnchor>
  <xdr:twoCellAnchor>
    <xdr:from>
      <xdr:col>2</xdr:col>
      <xdr:colOff>6978</xdr:colOff>
      <xdr:row>28</xdr:row>
      <xdr:rowOff>20934</xdr:rowOff>
    </xdr:from>
    <xdr:to>
      <xdr:col>2</xdr:col>
      <xdr:colOff>655934</xdr:colOff>
      <xdr:row>28</xdr:row>
      <xdr:rowOff>293077</xdr:rowOff>
    </xdr:to>
    <xdr:sp macro="" textlink="">
      <xdr:nvSpPr>
        <xdr:cNvPr id="95" name="Rectángulo redondeado 94">
          <a:hlinkClick xmlns:r="http://schemas.openxmlformats.org/officeDocument/2006/relationships" r:id="rId11"/>
          <a:extLst>
            <a:ext uri="{FF2B5EF4-FFF2-40B4-BE49-F238E27FC236}">
              <a16:creationId xmlns:a16="http://schemas.microsoft.com/office/drawing/2014/main" id="{6994F5A8-B681-2959-9BF2-A24C2842A339}"/>
            </a:ext>
          </a:extLst>
        </xdr:cNvPr>
        <xdr:cNvSpPr/>
      </xdr:nvSpPr>
      <xdr:spPr>
        <a:xfrm>
          <a:off x="593132" y="14521264"/>
          <a:ext cx="648956" cy="272143"/>
        </a:xfrm>
        <a:prstGeom prst="roundRect">
          <a:avLst/>
        </a:prstGeom>
      </xdr:spPr>
      <xdr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xdr:style>
      <xdr:txBody>
        <a:bodyPr rtlCol="0" anchor="ctr"/>
        <a:lstStyle/>
        <a:p>
          <a:pPr algn="l"/>
          <a:r>
            <a:rPr lang="es-ES_tradnl" sz="1000" b="1">
              <a:latin typeface="Arial" panose="020B0604020202020204" pitchFamily="34" charset="0"/>
              <a:cs typeface="Arial" panose="020B0604020202020204" pitchFamily="34" charset="0"/>
            </a:rPr>
            <a:t>FC-4.1</a:t>
          </a:r>
        </a:p>
      </xdr:txBody>
    </xdr:sp>
    <xdr:clientData/>
  </xdr:twoCellAnchor>
  <xdr:twoCellAnchor>
    <xdr:from>
      <xdr:col>2</xdr:col>
      <xdr:colOff>6978</xdr:colOff>
      <xdr:row>29</xdr:row>
      <xdr:rowOff>20934</xdr:rowOff>
    </xdr:from>
    <xdr:to>
      <xdr:col>2</xdr:col>
      <xdr:colOff>655934</xdr:colOff>
      <xdr:row>29</xdr:row>
      <xdr:rowOff>293077</xdr:rowOff>
    </xdr:to>
    <xdr:sp macro="" textlink="">
      <xdr:nvSpPr>
        <xdr:cNvPr id="96" name="Rectángulo redondeado 95">
          <a:hlinkClick xmlns:r="http://schemas.openxmlformats.org/officeDocument/2006/relationships" r:id="rId12"/>
          <a:extLst>
            <a:ext uri="{FF2B5EF4-FFF2-40B4-BE49-F238E27FC236}">
              <a16:creationId xmlns:a16="http://schemas.microsoft.com/office/drawing/2014/main" id="{D2CC8947-3971-0021-D1B0-C4946A3931C5}"/>
            </a:ext>
          </a:extLst>
        </xdr:cNvPr>
        <xdr:cNvSpPr/>
      </xdr:nvSpPr>
      <xdr:spPr>
        <a:xfrm>
          <a:off x="593132" y="14521264"/>
          <a:ext cx="648956" cy="272143"/>
        </a:xfrm>
        <a:prstGeom prst="roundRect">
          <a:avLst/>
        </a:prstGeom>
      </xdr:spPr>
      <xdr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xdr:style>
      <xdr:txBody>
        <a:bodyPr rtlCol="0" anchor="ctr"/>
        <a:lstStyle/>
        <a:p>
          <a:pPr algn="l"/>
          <a:r>
            <a:rPr lang="es-ES_tradnl" sz="1000" b="1">
              <a:latin typeface="Arial" panose="020B0604020202020204" pitchFamily="34" charset="0"/>
              <a:cs typeface="Arial" panose="020B0604020202020204" pitchFamily="34" charset="0"/>
            </a:rPr>
            <a:t>FC-5</a:t>
          </a:r>
        </a:p>
      </xdr:txBody>
    </xdr:sp>
    <xdr:clientData/>
  </xdr:twoCellAnchor>
  <xdr:twoCellAnchor>
    <xdr:from>
      <xdr:col>2</xdr:col>
      <xdr:colOff>6978</xdr:colOff>
      <xdr:row>30</xdr:row>
      <xdr:rowOff>20934</xdr:rowOff>
    </xdr:from>
    <xdr:to>
      <xdr:col>2</xdr:col>
      <xdr:colOff>655934</xdr:colOff>
      <xdr:row>30</xdr:row>
      <xdr:rowOff>293077</xdr:rowOff>
    </xdr:to>
    <xdr:sp macro="" textlink="">
      <xdr:nvSpPr>
        <xdr:cNvPr id="97" name="Rectángulo redondeado 96">
          <a:hlinkClick xmlns:r="http://schemas.openxmlformats.org/officeDocument/2006/relationships" r:id="rId13"/>
          <a:extLst>
            <a:ext uri="{FF2B5EF4-FFF2-40B4-BE49-F238E27FC236}">
              <a16:creationId xmlns:a16="http://schemas.microsoft.com/office/drawing/2014/main" id="{906B581F-513A-F776-21B5-64666DC2E6D1}"/>
            </a:ext>
          </a:extLst>
        </xdr:cNvPr>
        <xdr:cNvSpPr/>
      </xdr:nvSpPr>
      <xdr:spPr>
        <a:xfrm>
          <a:off x="593132" y="9385439"/>
          <a:ext cx="648956" cy="272143"/>
        </a:xfrm>
        <a:prstGeom prst="roundRect">
          <a:avLst/>
        </a:prstGeom>
      </xdr:spPr>
      <xdr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xdr:style>
      <xdr:txBody>
        <a:bodyPr rtlCol="0" anchor="ctr"/>
        <a:lstStyle/>
        <a:p>
          <a:pPr algn="l"/>
          <a:r>
            <a:rPr lang="es-ES_tradnl" sz="1000" b="1">
              <a:latin typeface="Arial" panose="020B0604020202020204" pitchFamily="34" charset="0"/>
              <a:cs typeface="Arial" panose="020B0604020202020204" pitchFamily="34" charset="0"/>
            </a:rPr>
            <a:t>FC-6</a:t>
          </a:r>
        </a:p>
      </xdr:txBody>
    </xdr:sp>
    <xdr:clientData/>
  </xdr:twoCellAnchor>
  <xdr:twoCellAnchor>
    <xdr:from>
      <xdr:col>2</xdr:col>
      <xdr:colOff>6978</xdr:colOff>
      <xdr:row>31</xdr:row>
      <xdr:rowOff>20934</xdr:rowOff>
    </xdr:from>
    <xdr:to>
      <xdr:col>2</xdr:col>
      <xdr:colOff>655934</xdr:colOff>
      <xdr:row>31</xdr:row>
      <xdr:rowOff>293077</xdr:rowOff>
    </xdr:to>
    <xdr:sp macro="" textlink="">
      <xdr:nvSpPr>
        <xdr:cNvPr id="98" name="Rectángulo redondeado 97">
          <a:hlinkClick xmlns:r="http://schemas.openxmlformats.org/officeDocument/2006/relationships" r:id="rId14"/>
          <a:extLst>
            <a:ext uri="{FF2B5EF4-FFF2-40B4-BE49-F238E27FC236}">
              <a16:creationId xmlns:a16="http://schemas.microsoft.com/office/drawing/2014/main" id="{D2AF4EED-70C1-5718-E59B-55D271AF613C}"/>
            </a:ext>
          </a:extLst>
        </xdr:cNvPr>
        <xdr:cNvSpPr/>
      </xdr:nvSpPr>
      <xdr:spPr>
        <a:xfrm>
          <a:off x="593132" y="14521264"/>
          <a:ext cx="648956" cy="272143"/>
        </a:xfrm>
        <a:prstGeom prst="roundRect">
          <a:avLst/>
        </a:prstGeom>
      </xdr:spPr>
      <xdr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xdr:style>
      <xdr:txBody>
        <a:bodyPr rtlCol="0" anchor="ctr"/>
        <a:lstStyle/>
        <a:p>
          <a:pPr algn="l"/>
          <a:r>
            <a:rPr lang="es-ES_tradnl" sz="1000" b="1">
              <a:latin typeface="Arial" panose="020B0604020202020204" pitchFamily="34" charset="0"/>
              <a:cs typeface="Arial" panose="020B0604020202020204" pitchFamily="34" charset="0"/>
            </a:rPr>
            <a:t>FC-7</a:t>
          </a:r>
        </a:p>
      </xdr:txBody>
    </xdr:sp>
    <xdr:clientData/>
  </xdr:twoCellAnchor>
  <xdr:twoCellAnchor>
    <xdr:from>
      <xdr:col>2</xdr:col>
      <xdr:colOff>6978</xdr:colOff>
      <xdr:row>32</xdr:row>
      <xdr:rowOff>20934</xdr:rowOff>
    </xdr:from>
    <xdr:to>
      <xdr:col>2</xdr:col>
      <xdr:colOff>655934</xdr:colOff>
      <xdr:row>32</xdr:row>
      <xdr:rowOff>293077</xdr:rowOff>
    </xdr:to>
    <xdr:sp macro="" textlink="">
      <xdr:nvSpPr>
        <xdr:cNvPr id="99" name="Rectángulo redondeado 98">
          <a:hlinkClick xmlns:r="http://schemas.openxmlformats.org/officeDocument/2006/relationships" r:id="rId15"/>
          <a:extLst>
            <a:ext uri="{FF2B5EF4-FFF2-40B4-BE49-F238E27FC236}">
              <a16:creationId xmlns:a16="http://schemas.microsoft.com/office/drawing/2014/main" id="{D46A696C-9192-5440-4517-BEF0D2FAFDC5}"/>
            </a:ext>
          </a:extLst>
        </xdr:cNvPr>
        <xdr:cNvSpPr/>
      </xdr:nvSpPr>
      <xdr:spPr>
        <a:xfrm>
          <a:off x="593132" y="14521264"/>
          <a:ext cx="648956" cy="272143"/>
        </a:xfrm>
        <a:prstGeom prst="roundRect">
          <a:avLst/>
        </a:prstGeom>
      </xdr:spPr>
      <xdr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xdr:style>
      <xdr:txBody>
        <a:bodyPr rtlCol="0" anchor="ctr"/>
        <a:lstStyle/>
        <a:p>
          <a:pPr algn="l"/>
          <a:r>
            <a:rPr lang="es-ES_tradnl" sz="1000" b="1">
              <a:latin typeface="Arial" panose="020B0604020202020204" pitchFamily="34" charset="0"/>
              <a:cs typeface="Arial" panose="020B0604020202020204" pitchFamily="34" charset="0"/>
            </a:rPr>
            <a:t>FC-8</a:t>
          </a:r>
        </a:p>
      </xdr:txBody>
    </xdr:sp>
    <xdr:clientData/>
  </xdr:twoCellAnchor>
  <xdr:twoCellAnchor>
    <xdr:from>
      <xdr:col>2</xdr:col>
      <xdr:colOff>6978</xdr:colOff>
      <xdr:row>33</xdr:row>
      <xdr:rowOff>20934</xdr:rowOff>
    </xdr:from>
    <xdr:to>
      <xdr:col>2</xdr:col>
      <xdr:colOff>655934</xdr:colOff>
      <xdr:row>33</xdr:row>
      <xdr:rowOff>293077</xdr:rowOff>
    </xdr:to>
    <xdr:sp macro="" textlink="">
      <xdr:nvSpPr>
        <xdr:cNvPr id="100" name="Rectángulo redondeado 99">
          <a:hlinkClick xmlns:r="http://schemas.openxmlformats.org/officeDocument/2006/relationships" r:id="rId16"/>
          <a:extLst>
            <a:ext uri="{FF2B5EF4-FFF2-40B4-BE49-F238E27FC236}">
              <a16:creationId xmlns:a16="http://schemas.microsoft.com/office/drawing/2014/main" id="{047BD48F-C63D-1B9E-8C2C-269CBFFB5482}"/>
            </a:ext>
          </a:extLst>
        </xdr:cNvPr>
        <xdr:cNvSpPr/>
      </xdr:nvSpPr>
      <xdr:spPr>
        <a:xfrm>
          <a:off x="593132" y="14521264"/>
          <a:ext cx="648956" cy="272143"/>
        </a:xfrm>
        <a:prstGeom prst="roundRect">
          <a:avLst/>
        </a:prstGeom>
      </xdr:spPr>
      <xdr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xdr:style>
      <xdr:txBody>
        <a:bodyPr rtlCol="0" anchor="ctr"/>
        <a:lstStyle/>
        <a:p>
          <a:pPr algn="l"/>
          <a:r>
            <a:rPr lang="es-ES_tradnl" sz="1000" b="1">
              <a:latin typeface="Arial" panose="020B0604020202020204" pitchFamily="34" charset="0"/>
              <a:cs typeface="Arial" panose="020B0604020202020204" pitchFamily="34" charset="0"/>
            </a:rPr>
            <a:t>FC-9</a:t>
          </a:r>
        </a:p>
      </xdr:txBody>
    </xdr:sp>
    <xdr:clientData/>
  </xdr:twoCellAnchor>
  <xdr:twoCellAnchor>
    <xdr:from>
      <xdr:col>2</xdr:col>
      <xdr:colOff>6978</xdr:colOff>
      <xdr:row>35</xdr:row>
      <xdr:rowOff>20934</xdr:rowOff>
    </xdr:from>
    <xdr:to>
      <xdr:col>2</xdr:col>
      <xdr:colOff>655934</xdr:colOff>
      <xdr:row>35</xdr:row>
      <xdr:rowOff>293077</xdr:rowOff>
    </xdr:to>
    <xdr:sp macro="" textlink="">
      <xdr:nvSpPr>
        <xdr:cNvPr id="101" name="Rectángulo redondeado 100">
          <a:hlinkClick xmlns:r="http://schemas.openxmlformats.org/officeDocument/2006/relationships" r:id="rId17"/>
          <a:extLst>
            <a:ext uri="{FF2B5EF4-FFF2-40B4-BE49-F238E27FC236}">
              <a16:creationId xmlns:a16="http://schemas.microsoft.com/office/drawing/2014/main" id="{914FBD16-493D-3994-099A-A4D153AC65B6}"/>
            </a:ext>
          </a:extLst>
        </xdr:cNvPr>
        <xdr:cNvSpPr/>
      </xdr:nvSpPr>
      <xdr:spPr>
        <a:xfrm>
          <a:off x="593132" y="10669396"/>
          <a:ext cx="648956" cy="272143"/>
        </a:xfrm>
        <a:prstGeom prst="roundRect">
          <a:avLst/>
        </a:prstGeom>
      </xdr:spPr>
      <xdr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xdr:style>
      <xdr:txBody>
        <a:bodyPr rtlCol="0" anchor="ctr"/>
        <a:lstStyle/>
        <a:p>
          <a:pPr algn="l"/>
          <a:r>
            <a:rPr lang="es-ES_tradnl" sz="1000" b="1">
              <a:latin typeface="Arial" panose="020B0604020202020204" pitchFamily="34" charset="0"/>
              <a:cs typeface="Arial" panose="020B0604020202020204" pitchFamily="34" charset="0"/>
            </a:rPr>
            <a:t>FC-10</a:t>
          </a:r>
        </a:p>
      </xdr:txBody>
    </xdr:sp>
    <xdr:clientData/>
  </xdr:twoCellAnchor>
  <xdr:twoCellAnchor>
    <xdr:from>
      <xdr:col>2</xdr:col>
      <xdr:colOff>6978</xdr:colOff>
      <xdr:row>36</xdr:row>
      <xdr:rowOff>20934</xdr:rowOff>
    </xdr:from>
    <xdr:to>
      <xdr:col>2</xdr:col>
      <xdr:colOff>655934</xdr:colOff>
      <xdr:row>36</xdr:row>
      <xdr:rowOff>293077</xdr:rowOff>
    </xdr:to>
    <xdr:sp macro="" textlink="">
      <xdr:nvSpPr>
        <xdr:cNvPr id="102" name="Rectángulo redondeado 101">
          <a:hlinkClick xmlns:r="http://schemas.openxmlformats.org/officeDocument/2006/relationships" r:id="rId18"/>
          <a:extLst>
            <a:ext uri="{FF2B5EF4-FFF2-40B4-BE49-F238E27FC236}">
              <a16:creationId xmlns:a16="http://schemas.microsoft.com/office/drawing/2014/main" id="{137ED765-4DF6-D687-F56F-B56225E00376}"/>
            </a:ext>
          </a:extLst>
        </xdr:cNvPr>
        <xdr:cNvSpPr/>
      </xdr:nvSpPr>
      <xdr:spPr>
        <a:xfrm>
          <a:off x="593132" y="14521264"/>
          <a:ext cx="648956" cy="272143"/>
        </a:xfrm>
        <a:prstGeom prst="roundRect">
          <a:avLst/>
        </a:prstGeom>
      </xdr:spPr>
      <xdr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xdr:style>
      <xdr:txBody>
        <a:bodyPr rtlCol="0" anchor="ctr"/>
        <a:lstStyle/>
        <a:p>
          <a:pPr algn="l"/>
          <a:r>
            <a:rPr lang="es-ES_tradnl" sz="1000" b="1">
              <a:latin typeface="Arial" panose="020B0604020202020204" pitchFamily="34" charset="0"/>
              <a:cs typeface="Arial" panose="020B0604020202020204" pitchFamily="34" charset="0"/>
            </a:rPr>
            <a:t>FC-11</a:t>
          </a:r>
        </a:p>
      </xdr:txBody>
    </xdr:sp>
    <xdr:clientData/>
  </xdr:twoCellAnchor>
  <xdr:twoCellAnchor>
    <xdr:from>
      <xdr:col>2</xdr:col>
      <xdr:colOff>6978</xdr:colOff>
      <xdr:row>37</xdr:row>
      <xdr:rowOff>20934</xdr:rowOff>
    </xdr:from>
    <xdr:to>
      <xdr:col>2</xdr:col>
      <xdr:colOff>655934</xdr:colOff>
      <xdr:row>37</xdr:row>
      <xdr:rowOff>293077</xdr:rowOff>
    </xdr:to>
    <xdr:sp macro="" textlink="">
      <xdr:nvSpPr>
        <xdr:cNvPr id="103" name="Rectángulo redondeado 102">
          <a:hlinkClick xmlns:r="http://schemas.openxmlformats.org/officeDocument/2006/relationships" r:id="rId19"/>
          <a:extLst>
            <a:ext uri="{FF2B5EF4-FFF2-40B4-BE49-F238E27FC236}">
              <a16:creationId xmlns:a16="http://schemas.microsoft.com/office/drawing/2014/main" id="{EA176C14-BEF9-669A-BF04-F66ECC4B20D1}"/>
            </a:ext>
          </a:extLst>
        </xdr:cNvPr>
        <xdr:cNvSpPr/>
      </xdr:nvSpPr>
      <xdr:spPr>
        <a:xfrm>
          <a:off x="593132" y="14521264"/>
          <a:ext cx="648956" cy="272143"/>
        </a:xfrm>
        <a:prstGeom prst="roundRect">
          <a:avLst/>
        </a:prstGeom>
      </xdr:spPr>
      <xdr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xdr:style>
      <xdr:txBody>
        <a:bodyPr rtlCol="0" anchor="ctr"/>
        <a:lstStyle/>
        <a:p>
          <a:pPr algn="l"/>
          <a:r>
            <a:rPr lang="es-ES_tradnl" sz="1000" b="1">
              <a:latin typeface="Arial" panose="020B0604020202020204" pitchFamily="34" charset="0"/>
              <a:cs typeface="Arial" panose="020B0604020202020204" pitchFamily="34" charset="0"/>
            </a:rPr>
            <a:t>FC-12</a:t>
          </a:r>
        </a:p>
      </xdr:txBody>
    </xdr:sp>
    <xdr:clientData/>
  </xdr:twoCellAnchor>
  <xdr:twoCellAnchor>
    <xdr:from>
      <xdr:col>2</xdr:col>
      <xdr:colOff>6978</xdr:colOff>
      <xdr:row>38</xdr:row>
      <xdr:rowOff>20934</xdr:rowOff>
    </xdr:from>
    <xdr:to>
      <xdr:col>2</xdr:col>
      <xdr:colOff>655934</xdr:colOff>
      <xdr:row>38</xdr:row>
      <xdr:rowOff>293077</xdr:rowOff>
    </xdr:to>
    <xdr:sp macro="" textlink="">
      <xdr:nvSpPr>
        <xdr:cNvPr id="104" name="Rectángulo redondeado 103">
          <a:hlinkClick xmlns:r="http://schemas.openxmlformats.org/officeDocument/2006/relationships" r:id="rId20"/>
          <a:extLst>
            <a:ext uri="{FF2B5EF4-FFF2-40B4-BE49-F238E27FC236}">
              <a16:creationId xmlns:a16="http://schemas.microsoft.com/office/drawing/2014/main" id="{A1BE2149-24EF-5D13-2583-C1B029C09956}"/>
            </a:ext>
          </a:extLst>
        </xdr:cNvPr>
        <xdr:cNvSpPr/>
      </xdr:nvSpPr>
      <xdr:spPr>
        <a:xfrm>
          <a:off x="593132" y="14521264"/>
          <a:ext cx="648956" cy="272143"/>
        </a:xfrm>
        <a:prstGeom prst="roundRect">
          <a:avLst/>
        </a:prstGeom>
      </xdr:spPr>
      <xdr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xdr:style>
      <xdr:txBody>
        <a:bodyPr rtlCol="0" anchor="ctr"/>
        <a:lstStyle/>
        <a:p>
          <a:pPr algn="l"/>
          <a:r>
            <a:rPr lang="es-ES_tradnl" sz="1000" b="1">
              <a:latin typeface="Arial" panose="020B0604020202020204" pitchFamily="34" charset="0"/>
              <a:cs typeface="Arial" panose="020B0604020202020204" pitchFamily="34" charset="0"/>
            </a:rPr>
            <a:t>FC-13</a:t>
          </a:r>
        </a:p>
      </xdr:txBody>
    </xdr:sp>
    <xdr:clientData/>
  </xdr:twoCellAnchor>
  <xdr:twoCellAnchor>
    <xdr:from>
      <xdr:col>2</xdr:col>
      <xdr:colOff>6978</xdr:colOff>
      <xdr:row>39</xdr:row>
      <xdr:rowOff>20934</xdr:rowOff>
    </xdr:from>
    <xdr:to>
      <xdr:col>2</xdr:col>
      <xdr:colOff>655934</xdr:colOff>
      <xdr:row>39</xdr:row>
      <xdr:rowOff>293077</xdr:rowOff>
    </xdr:to>
    <xdr:sp macro="" textlink="">
      <xdr:nvSpPr>
        <xdr:cNvPr id="105" name="Rectángulo redondeado 104">
          <a:hlinkClick xmlns:r="http://schemas.openxmlformats.org/officeDocument/2006/relationships" r:id="rId21"/>
          <a:extLst>
            <a:ext uri="{FF2B5EF4-FFF2-40B4-BE49-F238E27FC236}">
              <a16:creationId xmlns:a16="http://schemas.microsoft.com/office/drawing/2014/main" id="{A8D77CB4-87FB-D3F3-C77F-39780D497C61}"/>
            </a:ext>
          </a:extLst>
        </xdr:cNvPr>
        <xdr:cNvSpPr/>
      </xdr:nvSpPr>
      <xdr:spPr>
        <a:xfrm>
          <a:off x="593132" y="14521264"/>
          <a:ext cx="648956" cy="272143"/>
        </a:xfrm>
        <a:prstGeom prst="roundRect">
          <a:avLst/>
        </a:prstGeom>
      </xdr:spPr>
      <xdr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xdr:style>
      <xdr:txBody>
        <a:bodyPr rtlCol="0" anchor="ctr"/>
        <a:lstStyle/>
        <a:p>
          <a:pPr algn="l"/>
          <a:r>
            <a:rPr lang="es-ES_tradnl" sz="1000" b="1">
              <a:latin typeface="Arial" panose="020B0604020202020204" pitchFamily="34" charset="0"/>
              <a:cs typeface="Arial" panose="020B0604020202020204" pitchFamily="34" charset="0"/>
            </a:rPr>
            <a:t>FC-14</a:t>
          </a:r>
        </a:p>
      </xdr:txBody>
    </xdr:sp>
    <xdr:clientData/>
  </xdr:twoCellAnchor>
  <xdr:twoCellAnchor>
    <xdr:from>
      <xdr:col>2</xdr:col>
      <xdr:colOff>6978</xdr:colOff>
      <xdr:row>40</xdr:row>
      <xdr:rowOff>20934</xdr:rowOff>
    </xdr:from>
    <xdr:to>
      <xdr:col>2</xdr:col>
      <xdr:colOff>655934</xdr:colOff>
      <xdr:row>40</xdr:row>
      <xdr:rowOff>293077</xdr:rowOff>
    </xdr:to>
    <xdr:sp macro="" textlink="">
      <xdr:nvSpPr>
        <xdr:cNvPr id="106" name="Rectángulo redondeado 105">
          <a:hlinkClick xmlns:r="http://schemas.openxmlformats.org/officeDocument/2006/relationships" r:id="rId22"/>
          <a:extLst>
            <a:ext uri="{FF2B5EF4-FFF2-40B4-BE49-F238E27FC236}">
              <a16:creationId xmlns:a16="http://schemas.microsoft.com/office/drawing/2014/main" id="{4AE5B00C-C441-D044-BCBF-4D164494EADE}"/>
            </a:ext>
          </a:extLst>
        </xdr:cNvPr>
        <xdr:cNvSpPr/>
      </xdr:nvSpPr>
      <xdr:spPr>
        <a:xfrm>
          <a:off x="593132" y="12274341"/>
          <a:ext cx="648956" cy="272143"/>
        </a:xfrm>
        <a:prstGeom prst="roundRect">
          <a:avLst/>
        </a:prstGeom>
      </xdr:spPr>
      <xdr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xdr:style>
      <xdr:txBody>
        <a:bodyPr rtlCol="0" anchor="ctr"/>
        <a:lstStyle/>
        <a:p>
          <a:pPr algn="l"/>
          <a:r>
            <a:rPr lang="es-ES_tradnl" sz="1000" b="1">
              <a:latin typeface="Arial" panose="020B0604020202020204" pitchFamily="34" charset="0"/>
              <a:cs typeface="Arial" panose="020B0604020202020204" pitchFamily="34" charset="0"/>
            </a:rPr>
            <a:t>FC-15</a:t>
          </a:r>
        </a:p>
      </xdr:txBody>
    </xdr:sp>
    <xdr:clientData/>
  </xdr:twoCellAnchor>
  <xdr:twoCellAnchor>
    <xdr:from>
      <xdr:col>2</xdr:col>
      <xdr:colOff>6978</xdr:colOff>
      <xdr:row>41</xdr:row>
      <xdr:rowOff>20934</xdr:rowOff>
    </xdr:from>
    <xdr:to>
      <xdr:col>2</xdr:col>
      <xdr:colOff>655934</xdr:colOff>
      <xdr:row>41</xdr:row>
      <xdr:rowOff>293077</xdr:rowOff>
    </xdr:to>
    <xdr:sp macro="" textlink="">
      <xdr:nvSpPr>
        <xdr:cNvPr id="107" name="Rectángulo redondeado 106">
          <a:hlinkClick xmlns:r="http://schemas.openxmlformats.org/officeDocument/2006/relationships" r:id="rId23"/>
          <a:extLst>
            <a:ext uri="{FF2B5EF4-FFF2-40B4-BE49-F238E27FC236}">
              <a16:creationId xmlns:a16="http://schemas.microsoft.com/office/drawing/2014/main" id="{A5C00E94-9A3C-7844-50A0-56059153F1A0}"/>
            </a:ext>
          </a:extLst>
        </xdr:cNvPr>
        <xdr:cNvSpPr/>
      </xdr:nvSpPr>
      <xdr:spPr>
        <a:xfrm>
          <a:off x="593132" y="14521264"/>
          <a:ext cx="648956" cy="272143"/>
        </a:xfrm>
        <a:prstGeom prst="roundRect">
          <a:avLst/>
        </a:prstGeom>
      </xdr:spPr>
      <xdr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xdr:style>
      <xdr:txBody>
        <a:bodyPr rtlCol="0" anchor="ctr"/>
        <a:lstStyle/>
        <a:p>
          <a:pPr algn="l"/>
          <a:r>
            <a:rPr lang="es-ES_tradnl" sz="1000" b="1">
              <a:latin typeface="Arial" panose="020B0604020202020204" pitchFamily="34" charset="0"/>
              <a:cs typeface="Arial" panose="020B0604020202020204" pitchFamily="34" charset="0"/>
            </a:rPr>
            <a:t>FC-16</a:t>
          </a:r>
        </a:p>
      </xdr:txBody>
    </xdr:sp>
    <xdr:clientData/>
  </xdr:twoCellAnchor>
  <xdr:twoCellAnchor>
    <xdr:from>
      <xdr:col>2</xdr:col>
      <xdr:colOff>6978</xdr:colOff>
      <xdr:row>42</xdr:row>
      <xdr:rowOff>20934</xdr:rowOff>
    </xdr:from>
    <xdr:to>
      <xdr:col>2</xdr:col>
      <xdr:colOff>655934</xdr:colOff>
      <xdr:row>42</xdr:row>
      <xdr:rowOff>293077</xdr:rowOff>
    </xdr:to>
    <xdr:sp macro="" textlink="">
      <xdr:nvSpPr>
        <xdr:cNvPr id="108" name="Rectángulo redondeado 107">
          <a:hlinkClick xmlns:r="http://schemas.openxmlformats.org/officeDocument/2006/relationships" r:id="rId24"/>
          <a:extLst>
            <a:ext uri="{FF2B5EF4-FFF2-40B4-BE49-F238E27FC236}">
              <a16:creationId xmlns:a16="http://schemas.microsoft.com/office/drawing/2014/main" id="{4FF96599-181E-4551-2A28-6264F06D5EC3}"/>
            </a:ext>
          </a:extLst>
        </xdr:cNvPr>
        <xdr:cNvSpPr/>
      </xdr:nvSpPr>
      <xdr:spPr>
        <a:xfrm>
          <a:off x="593132" y="14521264"/>
          <a:ext cx="648956" cy="272143"/>
        </a:xfrm>
        <a:prstGeom prst="roundRect">
          <a:avLst/>
        </a:prstGeom>
      </xdr:spPr>
      <xdr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xdr:style>
      <xdr:txBody>
        <a:bodyPr rtlCol="0" anchor="ctr"/>
        <a:lstStyle/>
        <a:p>
          <a:pPr algn="l"/>
          <a:r>
            <a:rPr lang="es-ES_tradnl" sz="900" b="1">
              <a:latin typeface="Arial" panose="020B0604020202020204" pitchFamily="34" charset="0"/>
              <a:cs typeface="Arial" panose="020B0604020202020204" pitchFamily="34" charset="0"/>
            </a:rPr>
            <a:t>FC-16.1</a:t>
          </a:r>
        </a:p>
      </xdr:txBody>
    </xdr:sp>
    <xdr:clientData/>
  </xdr:twoCellAnchor>
  <xdr:twoCellAnchor>
    <xdr:from>
      <xdr:col>2</xdr:col>
      <xdr:colOff>6978</xdr:colOff>
      <xdr:row>43</xdr:row>
      <xdr:rowOff>20934</xdr:rowOff>
    </xdr:from>
    <xdr:to>
      <xdr:col>2</xdr:col>
      <xdr:colOff>655934</xdr:colOff>
      <xdr:row>43</xdr:row>
      <xdr:rowOff>293077</xdr:rowOff>
    </xdr:to>
    <xdr:sp macro="" textlink="">
      <xdr:nvSpPr>
        <xdr:cNvPr id="109" name="Rectángulo redondeado 108">
          <a:hlinkClick xmlns:r="http://schemas.openxmlformats.org/officeDocument/2006/relationships" r:id="rId25"/>
          <a:extLst>
            <a:ext uri="{FF2B5EF4-FFF2-40B4-BE49-F238E27FC236}">
              <a16:creationId xmlns:a16="http://schemas.microsoft.com/office/drawing/2014/main" id="{2FC67125-AF0B-64C5-FC17-B561A5364A8F}"/>
            </a:ext>
          </a:extLst>
        </xdr:cNvPr>
        <xdr:cNvSpPr/>
      </xdr:nvSpPr>
      <xdr:spPr>
        <a:xfrm>
          <a:off x="593132" y="14521264"/>
          <a:ext cx="648956" cy="272143"/>
        </a:xfrm>
        <a:prstGeom prst="roundRect">
          <a:avLst/>
        </a:prstGeom>
      </xdr:spPr>
      <xdr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xdr:style>
      <xdr:txBody>
        <a:bodyPr rtlCol="0" anchor="ctr"/>
        <a:lstStyle/>
        <a:p>
          <a:pPr algn="l"/>
          <a:r>
            <a:rPr lang="es-ES_tradnl" sz="1000" b="1">
              <a:latin typeface="Arial" panose="020B0604020202020204" pitchFamily="34" charset="0"/>
              <a:cs typeface="Arial" panose="020B0604020202020204" pitchFamily="34" charset="0"/>
            </a:rPr>
            <a:t>FC-17</a:t>
          </a:r>
        </a:p>
      </xdr:txBody>
    </xdr:sp>
    <xdr:clientData/>
  </xdr:twoCellAnchor>
  <xdr:twoCellAnchor>
    <xdr:from>
      <xdr:col>2</xdr:col>
      <xdr:colOff>6978</xdr:colOff>
      <xdr:row>34</xdr:row>
      <xdr:rowOff>20934</xdr:rowOff>
    </xdr:from>
    <xdr:to>
      <xdr:col>2</xdr:col>
      <xdr:colOff>655934</xdr:colOff>
      <xdr:row>34</xdr:row>
      <xdr:rowOff>293077</xdr:rowOff>
    </xdr:to>
    <xdr:sp macro="" textlink="">
      <xdr:nvSpPr>
        <xdr:cNvPr id="2" name="Rectángulo redondeado 1">
          <a:hlinkClick xmlns:r="http://schemas.openxmlformats.org/officeDocument/2006/relationships" r:id="rId26"/>
          <a:extLst>
            <a:ext uri="{FF2B5EF4-FFF2-40B4-BE49-F238E27FC236}">
              <a16:creationId xmlns:a16="http://schemas.microsoft.com/office/drawing/2014/main" id="{DFF4A00E-06A6-F194-FE07-24B7A39A7FCC}"/>
            </a:ext>
          </a:extLst>
        </xdr:cNvPr>
        <xdr:cNvSpPr/>
      </xdr:nvSpPr>
      <xdr:spPr>
        <a:xfrm>
          <a:off x="596621" y="10657184"/>
          <a:ext cx="648956" cy="272143"/>
        </a:xfrm>
        <a:prstGeom prst="roundRect">
          <a:avLst/>
        </a:prstGeom>
      </xdr:spPr>
      <xdr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xdr:style>
      <xdr:txBody>
        <a:bodyPr rtlCol="0" anchor="ctr"/>
        <a:lstStyle/>
        <a:p>
          <a:pPr algn="l"/>
          <a:r>
            <a:rPr lang="es-ES_tradnl" sz="1000" b="1">
              <a:latin typeface="Arial" panose="020B0604020202020204" pitchFamily="34" charset="0"/>
              <a:cs typeface="Arial" panose="020B0604020202020204" pitchFamily="34" charset="0"/>
            </a:rPr>
            <a:t>FC-9_1</a:t>
          </a:r>
        </a:p>
      </xdr:txBody>
    </xdr:sp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219075</xdr:colOff>
      <xdr:row>0</xdr:row>
      <xdr:rowOff>200025</xdr:rowOff>
    </xdr:from>
    <xdr:to>
      <xdr:col>3</xdr:col>
      <xdr:colOff>0</xdr:colOff>
      <xdr:row>3</xdr:row>
      <xdr:rowOff>47625</xdr:rowOff>
    </xdr:to>
    <xdr:pic>
      <xdr:nvPicPr>
        <xdr:cNvPr id="10241" name="Imagen 2">
          <a:extLst>
            <a:ext uri="{FF2B5EF4-FFF2-40B4-BE49-F238E27FC236}">
              <a16:creationId xmlns:a16="http://schemas.microsoft.com/office/drawing/2014/main" id="{FBDDFFBB-670A-9AD2-84C8-75BEC093581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71500" y="200025"/>
          <a:ext cx="866775" cy="704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11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219075</xdr:colOff>
      <xdr:row>0</xdr:row>
      <xdr:rowOff>114300</xdr:rowOff>
    </xdr:from>
    <xdr:to>
      <xdr:col>2</xdr:col>
      <xdr:colOff>1152525</xdr:colOff>
      <xdr:row>2</xdr:row>
      <xdr:rowOff>276225</xdr:rowOff>
    </xdr:to>
    <xdr:pic>
      <xdr:nvPicPr>
        <xdr:cNvPr id="11265" name="Imagen 1">
          <a:extLst>
            <a:ext uri="{FF2B5EF4-FFF2-40B4-BE49-F238E27FC236}">
              <a16:creationId xmlns:a16="http://schemas.microsoft.com/office/drawing/2014/main" id="{F68E89BD-7535-855A-8A6C-C8B0E24C8A5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114300"/>
          <a:ext cx="933450" cy="733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12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219075</xdr:colOff>
      <xdr:row>0</xdr:row>
      <xdr:rowOff>114300</xdr:rowOff>
    </xdr:from>
    <xdr:to>
      <xdr:col>3</xdr:col>
      <xdr:colOff>0</xdr:colOff>
      <xdr:row>3</xdr:row>
      <xdr:rowOff>0</xdr:rowOff>
    </xdr:to>
    <xdr:pic>
      <xdr:nvPicPr>
        <xdr:cNvPr id="12289" name="Imagen 1">
          <a:extLst>
            <a:ext uri="{FF2B5EF4-FFF2-40B4-BE49-F238E27FC236}">
              <a16:creationId xmlns:a16="http://schemas.microsoft.com/office/drawing/2014/main" id="{26F081EC-63A0-6963-3C00-8CD281B9452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114300"/>
          <a:ext cx="942975" cy="742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13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219075</xdr:colOff>
      <xdr:row>0</xdr:row>
      <xdr:rowOff>114300</xdr:rowOff>
    </xdr:from>
    <xdr:to>
      <xdr:col>2</xdr:col>
      <xdr:colOff>1162050</xdr:colOff>
      <xdr:row>2</xdr:row>
      <xdr:rowOff>285750</xdr:rowOff>
    </xdr:to>
    <xdr:pic>
      <xdr:nvPicPr>
        <xdr:cNvPr id="13313" name="Imagen 1">
          <a:extLst>
            <a:ext uri="{FF2B5EF4-FFF2-40B4-BE49-F238E27FC236}">
              <a16:creationId xmlns:a16="http://schemas.microsoft.com/office/drawing/2014/main" id="{67F35F70-B8CC-1AA8-AEA4-78457C832EF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114300"/>
          <a:ext cx="942975" cy="742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14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219075</xdr:colOff>
      <xdr:row>0</xdr:row>
      <xdr:rowOff>114300</xdr:rowOff>
    </xdr:from>
    <xdr:to>
      <xdr:col>2</xdr:col>
      <xdr:colOff>1123950</xdr:colOff>
      <xdr:row>2</xdr:row>
      <xdr:rowOff>257175</xdr:rowOff>
    </xdr:to>
    <xdr:pic>
      <xdr:nvPicPr>
        <xdr:cNvPr id="14337" name="Imagen 1">
          <a:extLst>
            <a:ext uri="{FF2B5EF4-FFF2-40B4-BE49-F238E27FC236}">
              <a16:creationId xmlns:a16="http://schemas.microsoft.com/office/drawing/2014/main" id="{EC7E4623-AABD-40FA-85D5-9164F6E0A25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114300"/>
          <a:ext cx="904875" cy="714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15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219075</xdr:colOff>
      <xdr:row>0</xdr:row>
      <xdr:rowOff>114300</xdr:rowOff>
    </xdr:from>
    <xdr:to>
      <xdr:col>2</xdr:col>
      <xdr:colOff>1133475</xdr:colOff>
      <xdr:row>2</xdr:row>
      <xdr:rowOff>257175</xdr:rowOff>
    </xdr:to>
    <xdr:pic>
      <xdr:nvPicPr>
        <xdr:cNvPr id="15361" name="Imagen 1">
          <a:extLst>
            <a:ext uri="{FF2B5EF4-FFF2-40B4-BE49-F238E27FC236}">
              <a16:creationId xmlns:a16="http://schemas.microsoft.com/office/drawing/2014/main" id="{8FE62072-82BC-BAE8-D345-8FD1C4D510D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114300"/>
          <a:ext cx="914400" cy="714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16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219075</xdr:colOff>
      <xdr:row>0</xdr:row>
      <xdr:rowOff>114300</xdr:rowOff>
    </xdr:from>
    <xdr:to>
      <xdr:col>2</xdr:col>
      <xdr:colOff>1133475</xdr:colOff>
      <xdr:row>2</xdr:row>
      <xdr:rowOff>257175</xdr:rowOff>
    </xdr:to>
    <xdr:pic>
      <xdr:nvPicPr>
        <xdr:cNvPr id="16385" name="Imagen 1">
          <a:extLst>
            <a:ext uri="{FF2B5EF4-FFF2-40B4-BE49-F238E27FC236}">
              <a16:creationId xmlns:a16="http://schemas.microsoft.com/office/drawing/2014/main" id="{903B734A-C4AA-9714-EFAF-E2DE2DE86F5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114300"/>
          <a:ext cx="914400" cy="714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17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219075</xdr:colOff>
      <xdr:row>0</xdr:row>
      <xdr:rowOff>114300</xdr:rowOff>
    </xdr:from>
    <xdr:to>
      <xdr:col>3</xdr:col>
      <xdr:colOff>9525</xdr:colOff>
      <xdr:row>3</xdr:row>
      <xdr:rowOff>28575</xdr:rowOff>
    </xdr:to>
    <xdr:pic>
      <xdr:nvPicPr>
        <xdr:cNvPr id="17409" name="Imagen 1">
          <a:extLst>
            <a:ext uri="{FF2B5EF4-FFF2-40B4-BE49-F238E27FC236}">
              <a16:creationId xmlns:a16="http://schemas.microsoft.com/office/drawing/2014/main" id="{4333CB25-8AF8-2B38-E2E3-1ED63F70A76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114300"/>
          <a:ext cx="952500" cy="771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18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219075</xdr:colOff>
      <xdr:row>0</xdr:row>
      <xdr:rowOff>114300</xdr:rowOff>
    </xdr:from>
    <xdr:to>
      <xdr:col>2</xdr:col>
      <xdr:colOff>1152525</xdr:colOff>
      <xdr:row>2</xdr:row>
      <xdr:rowOff>266700</xdr:rowOff>
    </xdr:to>
    <xdr:pic>
      <xdr:nvPicPr>
        <xdr:cNvPr id="18433" name="Imagen 1">
          <a:extLst>
            <a:ext uri="{FF2B5EF4-FFF2-40B4-BE49-F238E27FC236}">
              <a16:creationId xmlns:a16="http://schemas.microsoft.com/office/drawing/2014/main" id="{3CC04C03-F66E-7502-99FD-FEDCE16A68F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114300"/>
          <a:ext cx="933450" cy="723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19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228600</xdr:colOff>
      <xdr:row>0</xdr:row>
      <xdr:rowOff>133350</xdr:rowOff>
    </xdr:from>
    <xdr:to>
      <xdr:col>3</xdr:col>
      <xdr:colOff>990600</xdr:colOff>
      <xdr:row>3</xdr:row>
      <xdr:rowOff>228600</xdr:rowOff>
    </xdr:to>
    <xdr:pic>
      <xdr:nvPicPr>
        <xdr:cNvPr id="19457" name="Imagen 1">
          <a:extLst>
            <a:ext uri="{FF2B5EF4-FFF2-40B4-BE49-F238E27FC236}">
              <a16:creationId xmlns:a16="http://schemas.microsoft.com/office/drawing/2014/main" id="{48F9379E-5ADA-787B-55E3-85F651922B0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" y="133350"/>
          <a:ext cx="1219200" cy="952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85725</xdr:colOff>
      <xdr:row>0</xdr:row>
      <xdr:rowOff>190500</xdr:rowOff>
    </xdr:from>
    <xdr:to>
      <xdr:col>3</xdr:col>
      <xdr:colOff>0</xdr:colOff>
      <xdr:row>3</xdr:row>
      <xdr:rowOff>95250</xdr:rowOff>
    </xdr:to>
    <xdr:pic>
      <xdr:nvPicPr>
        <xdr:cNvPr id="2049" name="Picture 1" descr="logo-administrativo">
          <a:extLst>
            <a:ext uri="{FF2B5EF4-FFF2-40B4-BE49-F238E27FC236}">
              <a16:creationId xmlns:a16="http://schemas.microsoft.com/office/drawing/2014/main" id="{B04E50C3-D7E6-1095-F6A3-EB90B4BD0FF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190500"/>
          <a:ext cx="952500" cy="762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20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219075</xdr:colOff>
      <xdr:row>0</xdr:row>
      <xdr:rowOff>114300</xdr:rowOff>
    </xdr:from>
    <xdr:to>
      <xdr:col>3</xdr:col>
      <xdr:colOff>19050</xdr:colOff>
      <xdr:row>3</xdr:row>
      <xdr:rowOff>38100</xdr:rowOff>
    </xdr:to>
    <xdr:pic>
      <xdr:nvPicPr>
        <xdr:cNvPr id="20481" name="Imagen 1">
          <a:extLst>
            <a:ext uri="{FF2B5EF4-FFF2-40B4-BE49-F238E27FC236}">
              <a16:creationId xmlns:a16="http://schemas.microsoft.com/office/drawing/2014/main" id="{84F7391C-8479-6735-316D-0E7978A2E0B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114300"/>
          <a:ext cx="962025" cy="781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21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219075</xdr:colOff>
      <xdr:row>0</xdr:row>
      <xdr:rowOff>114300</xdr:rowOff>
    </xdr:from>
    <xdr:to>
      <xdr:col>3</xdr:col>
      <xdr:colOff>0</xdr:colOff>
      <xdr:row>3</xdr:row>
      <xdr:rowOff>0</xdr:rowOff>
    </xdr:to>
    <xdr:pic>
      <xdr:nvPicPr>
        <xdr:cNvPr id="21505" name="Imagen 1">
          <a:extLst>
            <a:ext uri="{FF2B5EF4-FFF2-40B4-BE49-F238E27FC236}">
              <a16:creationId xmlns:a16="http://schemas.microsoft.com/office/drawing/2014/main" id="{7552D8F2-7089-8D5F-95EB-A1CF0EB8570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114300"/>
          <a:ext cx="942975" cy="742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22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219075</xdr:colOff>
      <xdr:row>0</xdr:row>
      <xdr:rowOff>114300</xdr:rowOff>
    </xdr:from>
    <xdr:to>
      <xdr:col>3</xdr:col>
      <xdr:colOff>0</xdr:colOff>
      <xdr:row>2</xdr:row>
      <xdr:rowOff>257175</xdr:rowOff>
    </xdr:to>
    <xdr:pic>
      <xdr:nvPicPr>
        <xdr:cNvPr id="22529" name="Imagen 1">
          <a:extLst>
            <a:ext uri="{FF2B5EF4-FFF2-40B4-BE49-F238E27FC236}">
              <a16:creationId xmlns:a16="http://schemas.microsoft.com/office/drawing/2014/main" id="{D4C09621-79AB-B02D-8118-0166B85E3D2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114300"/>
          <a:ext cx="904875" cy="714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23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219075</xdr:colOff>
      <xdr:row>0</xdr:row>
      <xdr:rowOff>114300</xdr:rowOff>
    </xdr:from>
    <xdr:to>
      <xdr:col>3</xdr:col>
      <xdr:colOff>0</xdr:colOff>
      <xdr:row>3</xdr:row>
      <xdr:rowOff>0</xdr:rowOff>
    </xdr:to>
    <xdr:pic>
      <xdr:nvPicPr>
        <xdr:cNvPr id="23553" name="Imagen 1">
          <a:extLst>
            <a:ext uri="{FF2B5EF4-FFF2-40B4-BE49-F238E27FC236}">
              <a16:creationId xmlns:a16="http://schemas.microsoft.com/office/drawing/2014/main" id="{064B6FE0-244E-CA05-32D9-0972F86A266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114300"/>
          <a:ext cx="942975" cy="742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24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0</xdr:colOff>
      <xdr:row>0</xdr:row>
      <xdr:rowOff>104775</xdr:rowOff>
    </xdr:from>
    <xdr:to>
      <xdr:col>2</xdr:col>
      <xdr:colOff>1114425</xdr:colOff>
      <xdr:row>3</xdr:row>
      <xdr:rowOff>114300</xdr:rowOff>
    </xdr:to>
    <xdr:pic>
      <xdr:nvPicPr>
        <xdr:cNvPr id="24577" name="Imagen 1">
          <a:extLst>
            <a:ext uri="{FF2B5EF4-FFF2-40B4-BE49-F238E27FC236}">
              <a16:creationId xmlns:a16="http://schemas.microsoft.com/office/drawing/2014/main" id="{2620B238-5E2A-5E15-44A0-540169D8C01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9125" y="104775"/>
          <a:ext cx="1114425" cy="866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25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219075</xdr:colOff>
      <xdr:row>0</xdr:row>
      <xdr:rowOff>114300</xdr:rowOff>
    </xdr:from>
    <xdr:to>
      <xdr:col>3</xdr:col>
      <xdr:colOff>19050</xdr:colOff>
      <xdr:row>3</xdr:row>
      <xdr:rowOff>9525</xdr:rowOff>
    </xdr:to>
    <xdr:pic>
      <xdr:nvPicPr>
        <xdr:cNvPr id="25601" name="Imagen 1">
          <a:extLst>
            <a:ext uri="{FF2B5EF4-FFF2-40B4-BE49-F238E27FC236}">
              <a16:creationId xmlns:a16="http://schemas.microsoft.com/office/drawing/2014/main" id="{F51E7C15-0DAC-96B5-5FD7-B4F183AB78F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114300"/>
          <a:ext cx="923925" cy="752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26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104775</xdr:colOff>
      <xdr:row>0</xdr:row>
      <xdr:rowOff>342900</xdr:rowOff>
    </xdr:from>
    <xdr:to>
      <xdr:col>3</xdr:col>
      <xdr:colOff>9525</xdr:colOff>
      <xdr:row>3</xdr:row>
      <xdr:rowOff>38100</xdr:rowOff>
    </xdr:to>
    <xdr:pic>
      <xdr:nvPicPr>
        <xdr:cNvPr id="26625" name="Imagen 1">
          <a:extLst>
            <a:ext uri="{FF2B5EF4-FFF2-40B4-BE49-F238E27FC236}">
              <a16:creationId xmlns:a16="http://schemas.microsoft.com/office/drawing/2014/main" id="{F60E1BED-94DC-7EE6-9809-26A81DC25BE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8175" y="342900"/>
          <a:ext cx="1028700" cy="838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22</xdr:col>
      <xdr:colOff>6978</xdr:colOff>
      <xdr:row>7</xdr:row>
      <xdr:rowOff>20934</xdr:rowOff>
    </xdr:from>
    <xdr:to>
      <xdr:col>22</xdr:col>
      <xdr:colOff>655934</xdr:colOff>
      <xdr:row>7</xdr:row>
      <xdr:rowOff>293077</xdr:rowOff>
    </xdr:to>
    <xdr:sp macro="" textlink="">
      <xdr:nvSpPr>
        <xdr:cNvPr id="3" name="Rectángulo redondeado 2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CE5F0A10-0AEF-3A70-8FA7-51C8A7276798}"/>
            </a:ext>
          </a:extLst>
        </xdr:cNvPr>
        <xdr:cNvSpPr/>
      </xdr:nvSpPr>
      <xdr:spPr>
        <a:xfrm>
          <a:off x="22028778" y="2065634"/>
          <a:ext cx="648956" cy="272143"/>
        </a:xfrm>
        <a:prstGeom prst="roundRect">
          <a:avLst/>
        </a:prstGeom>
      </xdr:spPr>
      <xdr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xdr:style>
      <xdr:txBody>
        <a:bodyPr rtlCol="0" anchor="ctr"/>
        <a:lstStyle/>
        <a:p>
          <a:pPr algn="l"/>
          <a:r>
            <a:rPr lang="es-ES_tradnl" sz="1000" b="1">
              <a:latin typeface="Arial" panose="020B0604020202020204" pitchFamily="34" charset="0"/>
              <a:cs typeface="Arial" panose="020B0604020202020204" pitchFamily="34" charset="0"/>
            </a:rPr>
            <a:t>FC-90</a:t>
          </a:r>
        </a:p>
      </xdr:txBody>
    </xdr:sp>
    <xdr:clientData/>
  </xdr:twoCellAnchor>
  <xdr:twoCellAnchor>
    <xdr:from>
      <xdr:col>18</xdr:col>
      <xdr:colOff>6978</xdr:colOff>
      <xdr:row>5</xdr:row>
      <xdr:rowOff>20934</xdr:rowOff>
    </xdr:from>
    <xdr:to>
      <xdr:col>18</xdr:col>
      <xdr:colOff>655934</xdr:colOff>
      <xdr:row>5</xdr:row>
      <xdr:rowOff>293077</xdr:rowOff>
    </xdr:to>
    <xdr:sp macro="" textlink="">
      <xdr:nvSpPr>
        <xdr:cNvPr id="4" name="Rectángulo redondeado 3">
          <a:hlinkClick xmlns:r="http://schemas.openxmlformats.org/officeDocument/2006/relationships" r:id="rId3"/>
          <a:extLst>
            <a:ext uri="{FF2B5EF4-FFF2-40B4-BE49-F238E27FC236}">
              <a16:creationId xmlns:a16="http://schemas.microsoft.com/office/drawing/2014/main" id="{2E906706-1712-6A99-A578-3E9ED3C18B36}"/>
            </a:ext>
          </a:extLst>
        </xdr:cNvPr>
        <xdr:cNvSpPr/>
      </xdr:nvSpPr>
      <xdr:spPr>
        <a:xfrm>
          <a:off x="18218778" y="1303634"/>
          <a:ext cx="648956" cy="272143"/>
        </a:xfrm>
        <a:prstGeom prst="roundRect">
          <a:avLst/>
        </a:prstGeom>
      </xdr:spPr>
      <xdr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xdr:style>
      <xdr:txBody>
        <a:bodyPr rtlCol="0" anchor="ctr"/>
        <a:lstStyle/>
        <a:p>
          <a:pPr algn="l"/>
          <a:r>
            <a:rPr lang="es-ES_tradnl" sz="1000" b="1">
              <a:latin typeface="Arial" panose="020B0604020202020204" pitchFamily="34" charset="0"/>
              <a:cs typeface="Arial" panose="020B0604020202020204" pitchFamily="34" charset="0"/>
            </a:rPr>
            <a:t>FC-4 P</a:t>
          </a:r>
        </a:p>
      </xdr:txBody>
    </xdr:sp>
    <xdr:clientData/>
  </xdr:twoCellAnchor>
  <xdr:twoCellAnchor>
    <xdr:from>
      <xdr:col>19</xdr:col>
      <xdr:colOff>6978</xdr:colOff>
      <xdr:row>5</xdr:row>
      <xdr:rowOff>20934</xdr:rowOff>
    </xdr:from>
    <xdr:to>
      <xdr:col>19</xdr:col>
      <xdr:colOff>655934</xdr:colOff>
      <xdr:row>5</xdr:row>
      <xdr:rowOff>293077</xdr:rowOff>
    </xdr:to>
    <xdr:sp macro="" textlink="">
      <xdr:nvSpPr>
        <xdr:cNvPr id="5" name="Rectángulo redondeado 4">
          <a:hlinkClick xmlns:r="http://schemas.openxmlformats.org/officeDocument/2006/relationships" r:id="rId4"/>
          <a:extLst>
            <a:ext uri="{FF2B5EF4-FFF2-40B4-BE49-F238E27FC236}">
              <a16:creationId xmlns:a16="http://schemas.microsoft.com/office/drawing/2014/main" id="{F2A77DE8-2965-60B8-4C9B-9E3F7444ADE0}"/>
            </a:ext>
          </a:extLst>
        </xdr:cNvPr>
        <xdr:cNvSpPr/>
      </xdr:nvSpPr>
      <xdr:spPr>
        <a:xfrm>
          <a:off x="19171278" y="1303634"/>
          <a:ext cx="648956" cy="272143"/>
        </a:xfrm>
        <a:prstGeom prst="roundRect">
          <a:avLst/>
        </a:prstGeom>
      </xdr:spPr>
      <xdr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xdr:style>
      <xdr:txBody>
        <a:bodyPr rtlCol="0" anchor="ctr"/>
        <a:lstStyle/>
        <a:p>
          <a:pPr algn="l"/>
          <a:r>
            <a:rPr lang="es-ES_tradnl" sz="1000" b="1">
              <a:latin typeface="Arial" panose="020B0604020202020204" pitchFamily="34" charset="0"/>
              <a:cs typeface="Arial" panose="020B0604020202020204" pitchFamily="34" charset="0"/>
            </a:rPr>
            <a:t>FC-4.1</a:t>
          </a:r>
        </a:p>
      </xdr:txBody>
    </xdr:sp>
    <xdr:clientData/>
  </xdr:twoCellAnchor>
  <xdr:twoCellAnchor>
    <xdr:from>
      <xdr:col>20</xdr:col>
      <xdr:colOff>6978</xdr:colOff>
      <xdr:row>5</xdr:row>
      <xdr:rowOff>20934</xdr:rowOff>
    </xdr:from>
    <xdr:to>
      <xdr:col>20</xdr:col>
      <xdr:colOff>655934</xdr:colOff>
      <xdr:row>5</xdr:row>
      <xdr:rowOff>293077</xdr:rowOff>
    </xdr:to>
    <xdr:sp macro="" textlink="">
      <xdr:nvSpPr>
        <xdr:cNvPr id="6" name="Rectángulo redondeado 5">
          <a:hlinkClick xmlns:r="http://schemas.openxmlformats.org/officeDocument/2006/relationships" r:id="rId5"/>
          <a:extLst>
            <a:ext uri="{FF2B5EF4-FFF2-40B4-BE49-F238E27FC236}">
              <a16:creationId xmlns:a16="http://schemas.microsoft.com/office/drawing/2014/main" id="{B92FBC52-3F54-2F51-05D3-19487E02D5B0}"/>
            </a:ext>
          </a:extLst>
        </xdr:cNvPr>
        <xdr:cNvSpPr/>
      </xdr:nvSpPr>
      <xdr:spPr>
        <a:xfrm>
          <a:off x="20123778" y="1303634"/>
          <a:ext cx="648956" cy="272143"/>
        </a:xfrm>
        <a:prstGeom prst="roundRect">
          <a:avLst/>
        </a:prstGeom>
      </xdr:spPr>
      <xdr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xdr:style>
      <xdr:txBody>
        <a:bodyPr rtlCol="0" anchor="ctr"/>
        <a:lstStyle/>
        <a:p>
          <a:pPr algn="l"/>
          <a:r>
            <a:rPr lang="es-ES_tradnl" sz="1000" b="1">
              <a:latin typeface="Arial" panose="020B0604020202020204" pitchFamily="34" charset="0"/>
              <a:cs typeface="Arial" panose="020B0604020202020204" pitchFamily="34" charset="0"/>
            </a:rPr>
            <a:t>FC-5</a:t>
          </a:r>
        </a:p>
      </xdr:txBody>
    </xdr:sp>
    <xdr:clientData/>
  </xdr:twoCellAnchor>
  <xdr:twoCellAnchor>
    <xdr:from>
      <xdr:col>21</xdr:col>
      <xdr:colOff>6978</xdr:colOff>
      <xdr:row>5</xdr:row>
      <xdr:rowOff>20934</xdr:rowOff>
    </xdr:from>
    <xdr:to>
      <xdr:col>21</xdr:col>
      <xdr:colOff>655934</xdr:colOff>
      <xdr:row>5</xdr:row>
      <xdr:rowOff>293077</xdr:rowOff>
    </xdr:to>
    <xdr:sp macro="" textlink="">
      <xdr:nvSpPr>
        <xdr:cNvPr id="7" name="Rectángulo redondeado 6">
          <a:hlinkClick xmlns:r="http://schemas.openxmlformats.org/officeDocument/2006/relationships" r:id="rId6"/>
          <a:extLst>
            <a:ext uri="{FF2B5EF4-FFF2-40B4-BE49-F238E27FC236}">
              <a16:creationId xmlns:a16="http://schemas.microsoft.com/office/drawing/2014/main" id="{0FFED027-11F5-4880-FD2D-64793092374E}"/>
            </a:ext>
          </a:extLst>
        </xdr:cNvPr>
        <xdr:cNvSpPr/>
      </xdr:nvSpPr>
      <xdr:spPr>
        <a:xfrm>
          <a:off x="21076278" y="1303634"/>
          <a:ext cx="648956" cy="272143"/>
        </a:xfrm>
        <a:prstGeom prst="roundRect">
          <a:avLst/>
        </a:prstGeom>
      </xdr:spPr>
      <xdr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xdr:style>
      <xdr:txBody>
        <a:bodyPr rtlCol="0" anchor="ctr"/>
        <a:lstStyle/>
        <a:p>
          <a:pPr algn="l"/>
          <a:r>
            <a:rPr lang="es-ES_tradnl" sz="1000" b="1">
              <a:latin typeface="Arial" panose="020B0604020202020204" pitchFamily="34" charset="0"/>
              <a:cs typeface="Arial" panose="020B0604020202020204" pitchFamily="34" charset="0"/>
            </a:rPr>
            <a:t>FC-6</a:t>
          </a:r>
        </a:p>
      </xdr:txBody>
    </xdr:sp>
    <xdr:clientData/>
  </xdr:twoCellAnchor>
  <xdr:twoCellAnchor>
    <xdr:from>
      <xdr:col>22</xdr:col>
      <xdr:colOff>6978</xdr:colOff>
      <xdr:row>5</xdr:row>
      <xdr:rowOff>20934</xdr:rowOff>
    </xdr:from>
    <xdr:to>
      <xdr:col>22</xdr:col>
      <xdr:colOff>655934</xdr:colOff>
      <xdr:row>5</xdr:row>
      <xdr:rowOff>293077</xdr:rowOff>
    </xdr:to>
    <xdr:sp macro="" textlink="">
      <xdr:nvSpPr>
        <xdr:cNvPr id="8" name="Rectángulo redondeado 7">
          <a:hlinkClick xmlns:r="http://schemas.openxmlformats.org/officeDocument/2006/relationships" r:id="rId7"/>
          <a:extLst>
            <a:ext uri="{FF2B5EF4-FFF2-40B4-BE49-F238E27FC236}">
              <a16:creationId xmlns:a16="http://schemas.microsoft.com/office/drawing/2014/main" id="{775B950E-31AC-A578-8A2F-F067F82AC2E7}"/>
            </a:ext>
          </a:extLst>
        </xdr:cNvPr>
        <xdr:cNvSpPr/>
      </xdr:nvSpPr>
      <xdr:spPr>
        <a:xfrm>
          <a:off x="22028778" y="1303634"/>
          <a:ext cx="648956" cy="272143"/>
        </a:xfrm>
        <a:prstGeom prst="roundRect">
          <a:avLst/>
        </a:prstGeom>
      </xdr:spPr>
      <xdr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xdr:style>
      <xdr:txBody>
        <a:bodyPr rtlCol="0" anchor="ctr"/>
        <a:lstStyle/>
        <a:p>
          <a:pPr algn="l"/>
          <a:r>
            <a:rPr lang="es-ES_tradnl" sz="1000" b="1">
              <a:latin typeface="Arial" panose="020B0604020202020204" pitchFamily="34" charset="0"/>
              <a:cs typeface="Arial" panose="020B0604020202020204" pitchFamily="34" charset="0"/>
            </a:rPr>
            <a:t>FC-7</a:t>
          </a:r>
        </a:p>
      </xdr:txBody>
    </xdr:sp>
    <xdr:clientData/>
  </xdr:twoCellAnchor>
  <xdr:twoCellAnchor>
    <xdr:from>
      <xdr:col>11</xdr:col>
      <xdr:colOff>6978</xdr:colOff>
      <xdr:row>7</xdr:row>
      <xdr:rowOff>20934</xdr:rowOff>
    </xdr:from>
    <xdr:to>
      <xdr:col>11</xdr:col>
      <xdr:colOff>655934</xdr:colOff>
      <xdr:row>7</xdr:row>
      <xdr:rowOff>293077</xdr:rowOff>
    </xdr:to>
    <xdr:sp macro="" textlink="">
      <xdr:nvSpPr>
        <xdr:cNvPr id="10" name="Rectángulo redondeado 9">
          <a:hlinkClick xmlns:r="http://schemas.openxmlformats.org/officeDocument/2006/relationships" r:id="rId8"/>
          <a:extLst>
            <a:ext uri="{FF2B5EF4-FFF2-40B4-BE49-F238E27FC236}">
              <a16:creationId xmlns:a16="http://schemas.microsoft.com/office/drawing/2014/main" id="{2B114C3B-4171-9C1D-A7F3-2219E55F2F56}"/>
            </a:ext>
          </a:extLst>
        </xdr:cNvPr>
        <xdr:cNvSpPr/>
      </xdr:nvSpPr>
      <xdr:spPr>
        <a:xfrm>
          <a:off x="12503778" y="2065634"/>
          <a:ext cx="648956" cy="272143"/>
        </a:xfrm>
        <a:prstGeom prst="roundRect">
          <a:avLst/>
        </a:prstGeom>
      </xdr:spPr>
      <xdr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xdr:style>
      <xdr:txBody>
        <a:bodyPr rtlCol="0" anchor="ctr"/>
        <a:lstStyle/>
        <a:p>
          <a:pPr algn="l"/>
          <a:r>
            <a:rPr lang="es-ES_tradnl" sz="1000" b="1">
              <a:latin typeface="Arial" panose="020B0604020202020204" pitchFamily="34" charset="0"/>
              <a:cs typeface="Arial" panose="020B0604020202020204" pitchFamily="34" charset="0"/>
            </a:rPr>
            <a:t>FC-9</a:t>
          </a:r>
        </a:p>
      </xdr:txBody>
    </xdr:sp>
    <xdr:clientData/>
  </xdr:twoCellAnchor>
  <xdr:twoCellAnchor>
    <xdr:from>
      <xdr:col>13</xdr:col>
      <xdr:colOff>6978</xdr:colOff>
      <xdr:row>7</xdr:row>
      <xdr:rowOff>20934</xdr:rowOff>
    </xdr:from>
    <xdr:to>
      <xdr:col>13</xdr:col>
      <xdr:colOff>655934</xdr:colOff>
      <xdr:row>7</xdr:row>
      <xdr:rowOff>293077</xdr:rowOff>
    </xdr:to>
    <xdr:sp macro="" textlink="">
      <xdr:nvSpPr>
        <xdr:cNvPr id="11" name="Rectángulo redondeado 10">
          <a:hlinkClick xmlns:r="http://schemas.openxmlformats.org/officeDocument/2006/relationships" r:id="rId9"/>
          <a:extLst>
            <a:ext uri="{FF2B5EF4-FFF2-40B4-BE49-F238E27FC236}">
              <a16:creationId xmlns:a16="http://schemas.microsoft.com/office/drawing/2014/main" id="{CCF65803-32BD-8A79-FAB2-FEF713E4457F}"/>
            </a:ext>
          </a:extLst>
        </xdr:cNvPr>
        <xdr:cNvSpPr/>
      </xdr:nvSpPr>
      <xdr:spPr>
        <a:xfrm>
          <a:off x="13456278" y="2065634"/>
          <a:ext cx="648956" cy="272143"/>
        </a:xfrm>
        <a:prstGeom prst="roundRect">
          <a:avLst/>
        </a:prstGeom>
      </xdr:spPr>
      <xdr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xdr:style>
      <xdr:txBody>
        <a:bodyPr rtlCol="0" anchor="ctr"/>
        <a:lstStyle/>
        <a:p>
          <a:pPr algn="l"/>
          <a:r>
            <a:rPr lang="es-ES_tradnl" sz="1000" b="1">
              <a:latin typeface="Arial" panose="020B0604020202020204" pitchFamily="34" charset="0"/>
              <a:cs typeface="Arial" panose="020B0604020202020204" pitchFamily="34" charset="0"/>
            </a:rPr>
            <a:t>FC-10</a:t>
          </a:r>
        </a:p>
      </xdr:txBody>
    </xdr:sp>
    <xdr:clientData/>
  </xdr:twoCellAnchor>
  <xdr:twoCellAnchor>
    <xdr:from>
      <xdr:col>14</xdr:col>
      <xdr:colOff>6978</xdr:colOff>
      <xdr:row>7</xdr:row>
      <xdr:rowOff>20934</xdr:rowOff>
    </xdr:from>
    <xdr:to>
      <xdr:col>14</xdr:col>
      <xdr:colOff>655934</xdr:colOff>
      <xdr:row>7</xdr:row>
      <xdr:rowOff>293077</xdr:rowOff>
    </xdr:to>
    <xdr:sp macro="" textlink="">
      <xdr:nvSpPr>
        <xdr:cNvPr id="12" name="Rectángulo redondeado 11">
          <a:hlinkClick xmlns:r="http://schemas.openxmlformats.org/officeDocument/2006/relationships" r:id="rId10"/>
          <a:extLst>
            <a:ext uri="{FF2B5EF4-FFF2-40B4-BE49-F238E27FC236}">
              <a16:creationId xmlns:a16="http://schemas.microsoft.com/office/drawing/2014/main" id="{B0DF4DB3-BC2F-2774-68DC-EF67CCBDB6B1}"/>
            </a:ext>
          </a:extLst>
        </xdr:cNvPr>
        <xdr:cNvSpPr/>
      </xdr:nvSpPr>
      <xdr:spPr>
        <a:xfrm>
          <a:off x="14408778" y="2065634"/>
          <a:ext cx="648956" cy="272143"/>
        </a:xfrm>
        <a:prstGeom prst="roundRect">
          <a:avLst/>
        </a:prstGeom>
      </xdr:spPr>
      <xdr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xdr:style>
      <xdr:txBody>
        <a:bodyPr rtlCol="0" anchor="ctr"/>
        <a:lstStyle/>
        <a:p>
          <a:pPr algn="l"/>
          <a:r>
            <a:rPr lang="es-ES_tradnl" sz="1000" b="1">
              <a:latin typeface="Arial" panose="020B0604020202020204" pitchFamily="34" charset="0"/>
              <a:cs typeface="Arial" panose="020B0604020202020204" pitchFamily="34" charset="0"/>
            </a:rPr>
            <a:t>FC-11</a:t>
          </a:r>
        </a:p>
      </xdr:txBody>
    </xdr:sp>
    <xdr:clientData/>
  </xdr:twoCellAnchor>
  <xdr:twoCellAnchor>
    <xdr:from>
      <xdr:col>15</xdr:col>
      <xdr:colOff>6978</xdr:colOff>
      <xdr:row>7</xdr:row>
      <xdr:rowOff>20934</xdr:rowOff>
    </xdr:from>
    <xdr:to>
      <xdr:col>15</xdr:col>
      <xdr:colOff>655934</xdr:colOff>
      <xdr:row>7</xdr:row>
      <xdr:rowOff>293077</xdr:rowOff>
    </xdr:to>
    <xdr:sp macro="" textlink="">
      <xdr:nvSpPr>
        <xdr:cNvPr id="13" name="Rectángulo redondeado 12">
          <a:hlinkClick xmlns:r="http://schemas.openxmlformats.org/officeDocument/2006/relationships" r:id="rId11"/>
          <a:extLst>
            <a:ext uri="{FF2B5EF4-FFF2-40B4-BE49-F238E27FC236}">
              <a16:creationId xmlns:a16="http://schemas.microsoft.com/office/drawing/2014/main" id="{8FE7D026-9612-1D63-8F60-51113BA94594}"/>
            </a:ext>
          </a:extLst>
        </xdr:cNvPr>
        <xdr:cNvSpPr/>
      </xdr:nvSpPr>
      <xdr:spPr>
        <a:xfrm>
          <a:off x="15361278" y="2065634"/>
          <a:ext cx="648956" cy="272143"/>
        </a:xfrm>
        <a:prstGeom prst="roundRect">
          <a:avLst/>
        </a:prstGeom>
      </xdr:spPr>
      <xdr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xdr:style>
      <xdr:txBody>
        <a:bodyPr rtlCol="0" anchor="ctr"/>
        <a:lstStyle/>
        <a:p>
          <a:pPr algn="l"/>
          <a:r>
            <a:rPr lang="es-ES_tradnl" sz="1000" b="1">
              <a:latin typeface="Arial" panose="020B0604020202020204" pitchFamily="34" charset="0"/>
              <a:cs typeface="Arial" panose="020B0604020202020204" pitchFamily="34" charset="0"/>
            </a:rPr>
            <a:t>FC-12</a:t>
          </a:r>
        </a:p>
      </xdr:txBody>
    </xdr:sp>
    <xdr:clientData/>
  </xdr:twoCellAnchor>
  <xdr:twoCellAnchor>
    <xdr:from>
      <xdr:col>16</xdr:col>
      <xdr:colOff>6978</xdr:colOff>
      <xdr:row>7</xdr:row>
      <xdr:rowOff>20934</xdr:rowOff>
    </xdr:from>
    <xdr:to>
      <xdr:col>16</xdr:col>
      <xdr:colOff>655934</xdr:colOff>
      <xdr:row>7</xdr:row>
      <xdr:rowOff>293077</xdr:rowOff>
    </xdr:to>
    <xdr:sp macro="" textlink="">
      <xdr:nvSpPr>
        <xdr:cNvPr id="14" name="Rectángulo redondeado 13">
          <a:hlinkClick xmlns:r="http://schemas.openxmlformats.org/officeDocument/2006/relationships" r:id="rId12"/>
          <a:extLst>
            <a:ext uri="{FF2B5EF4-FFF2-40B4-BE49-F238E27FC236}">
              <a16:creationId xmlns:a16="http://schemas.microsoft.com/office/drawing/2014/main" id="{B8797376-A7C6-9367-95AE-ADDF34DD904F}"/>
            </a:ext>
          </a:extLst>
        </xdr:cNvPr>
        <xdr:cNvSpPr/>
      </xdr:nvSpPr>
      <xdr:spPr>
        <a:xfrm>
          <a:off x="16313778" y="2065634"/>
          <a:ext cx="648956" cy="272143"/>
        </a:xfrm>
        <a:prstGeom prst="roundRect">
          <a:avLst/>
        </a:prstGeom>
      </xdr:spPr>
      <xdr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xdr:style>
      <xdr:txBody>
        <a:bodyPr rtlCol="0" anchor="ctr"/>
        <a:lstStyle/>
        <a:p>
          <a:pPr algn="l"/>
          <a:r>
            <a:rPr lang="es-ES_tradnl" sz="1000" b="1">
              <a:latin typeface="Arial" panose="020B0604020202020204" pitchFamily="34" charset="0"/>
              <a:cs typeface="Arial" panose="020B0604020202020204" pitchFamily="34" charset="0"/>
            </a:rPr>
            <a:t>FC-13</a:t>
          </a:r>
        </a:p>
      </xdr:txBody>
    </xdr:sp>
    <xdr:clientData/>
  </xdr:twoCellAnchor>
  <xdr:twoCellAnchor>
    <xdr:from>
      <xdr:col>17</xdr:col>
      <xdr:colOff>6978</xdr:colOff>
      <xdr:row>7</xdr:row>
      <xdr:rowOff>20934</xdr:rowOff>
    </xdr:from>
    <xdr:to>
      <xdr:col>17</xdr:col>
      <xdr:colOff>655934</xdr:colOff>
      <xdr:row>7</xdr:row>
      <xdr:rowOff>293077</xdr:rowOff>
    </xdr:to>
    <xdr:sp macro="" textlink="">
      <xdr:nvSpPr>
        <xdr:cNvPr id="15" name="Rectángulo redondeado 14">
          <a:hlinkClick xmlns:r="http://schemas.openxmlformats.org/officeDocument/2006/relationships" r:id="rId13"/>
          <a:extLst>
            <a:ext uri="{FF2B5EF4-FFF2-40B4-BE49-F238E27FC236}">
              <a16:creationId xmlns:a16="http://schemas.microsoft.com/office/drawing/2014/main" id="{F092E03D-8874-0A77-47E1-F7E130751FA8}"/>
            </a:ext>
          </a:extLst>
        </xdr:cNvPr>
        <xdr:cNvSpPr/>
      </xdr:nvSpPr>
      <xdr:spPr>
        <a:xfrm>
          <a:off x="17266278" y="2065634"/>
          <a:ext cx="648956" cy="272143"/>
        </a:xfrm>
        <a:prstGeom prst="roundRect">
          <a:avLst/>
        </a:prstGeom>
      </xdr:spPr>
      <xdr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xdr:style>
      <xdr:txBody>
        <a:bodyPr rtlCol="0" anchor="ctr"/>
        <a:lstStyle/>
        <a:p>
          <a:pPr algn="l"/>
          <a:r>
            <a:rPr lang="es-ES_tradnl" sz="1000" b="1">
              <a:latin typeface="Arial" panose="020B0604020202020204" pitchFamily="34" charset="0"/>
              <a:cs typeface="Arial" panose="020B0604020202020204" pitchFamily="34" charset="0"/>
            </a:rPr>
            <a:t>FC-14</a:t>
          </a:r>
        </a:p>
      </xdr:txBody>
    </xdr:sp>
    <xdr:clientData/>
  </xdr:twoCellAnchor>
  <xdr:twoCellAnchor>
    <xdr:from>
      <xdr:col>18</xdr:col>
      <xdr:colOff>6978</xdr:colOff>
      <xdr:row>7</xdr:row>
      <xdr:rowOff>20934</xdr:rowOff>
    </xdr:from>
    <xdr:to>
      <xdr:col>18</xdr:col>
      <xdr:colOff>655934</xdr:colOff>
      <xdr:row>7</xdr:row>
      <xdr:rowOff>293077</xdr:rowOff>
    </xdr:to>
    <xdr:sp macro="" textlink="">
      <xdr:nvSpPr>
        <xdr:cNvPr id="16" name="Rectángulo redondeado 15">
          <a:hlinkClick xmlns:r="http://schemas.openxmlformats.org/officeDocument/2006/relationships" r:id="rId14"/>
          <a:extLst>
            <a:ext uri="{FF2B5EF4-FFF2-40B4-BE49-F238E27FC236}">
              <a16:creationId xmlns:a16="http://schemas.microsoft.com/office/drawing/2014/main" id="{6CD93192-5753-5E74-D994-D36B6F24709B}"/>
            </a:ext>
          </a:extLst>
        </xdr:cNvPr>
        <xdr:cNvSpPr/>
      </xdr:nvSpPr>
      <xdr:spPr>
        <a:xfrm>
          <a:off x="18218778" y="2065634"/>
          <a:ext cx="648956" cy="272143"/>
        </a:xfrm>
        <a:prstGeom prst="roundRect">
          <a:avLst/>
        </a:prstGeom>
      </xdr:spPr>
      <xdr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xdr:style>
      <xdr:txBody>
        <a:bodyPr rtlCol="0" anchor="ctr"/>
        <a:lstStyle/>
        <a:p>
          <a:pPr algn="l"/>
          <a:r>
            <a:rPr lang="es-ES_tradnl" sz="1000" b="1">
              <a:latin typeface="Arial" panose="020B0604020202020204" pitchFamily="34" charset="0"/>
              <a:cs typeface="Arial" panose="020B0604020202020204" pitchFamily="34" charset="0"/>
            </a:rPr>
            <a:t>FC-15</a:t>
          </a:r>
        </a:p>
      </xdr:txBody>
    </xdr:sp>
    <xdr:clientData/>
  </xdr:twoCellAnchor>
  <xdr:twoCellAnchor>
    <xdr:from>
      <xdr:col>19</xdr:col>
      <xdr:colOff>6978</xdr:colOff>
      <xdr:row>7</xdr:row>
      <xdr:rowOff>20934</xdr:rowOff>
    </xdr:from>
    <xdr:to>
      <xdr:col>19</xdr:col>
      <xdr:colOff>655934</xdr:colOff>
      <xdr:row>7</xdr:row>
      <xdr:rowOff>293077</xdr:rowOff>
    </xdr:to>
    <xdr:sp macro="" textlink="">
      <xdr:nvSpPr>
        <xdr:cNvPr id="17" name="Rectángulo redondeado 16">
          <a:hlinkClick xmlns:r="http://schemas.openxmlformats.org/officeDocument/2006/relationships" r:id="rId15"/>
          <a:extLst>
            <a:ext uri="{FF2B5EF4-FFF2-40B4-BE49-F238E27FC236}">
              <a16:creationId xmlns:a16="http://schemas.microsoft.com/office/drawing/2014/main" id="{7D8C4979-460E-1860-FDE7-3BFC3E7254C9}"/>
            </a:ext>
          </a:extLst>
        </xdr:cNvPr>
        <xdr:cNvSpPr/>
      </xdr:nvSpPr>
      <xdr:spPr>
        <a:xfrm>
          <a:off x="19171278" y="2065634"/>
          <a:ext cx="648956" cy="272143"/>
        </a:xfrm>
        <a:prstGeom prst="roundRect">
          <a:avLst/>
        </a:prstGeom>
      </xdr:spPr>
      <xdr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xdr:style>
      <xdr:txBody>
        <a:bodyPr rtlCol="0" anchor="ctr"/>
        <a:lstStyle/>
        <a:p>
          <a:pPr algn="l"/>
          <a:r>
            <a:rPr lang="es-ES_tradnl" sz="1000" b="1">
              <a:latin typeface="Arial" panose="020B0604020202020204" pitchFamily="34" charset="0"/>
              <a:cs typeface="Arial" panose="020B0604020202020204" pitchFamily="34" charset="0"/>
            </a:rPr>
            <a:t>FC-16</a:t>
          </a:r>
        </a:p>
      </xdr:txBody>
    </xdr:sp>
    <xdr:clientData/>
  </xdr:twoCellAnchor>
  <xdr:twoCellAnchor>
    <xdr:from>
      <xdr:col>20</xdr:col>
      <xdr:colOff>6978</xdr:colOff>
      <xdr:row>7</xdr:row>
      <xdr:rowOff>20934</xdr:rowOff>
    </xdr:from>
    <xdr:to>
      <xdr:col>20</xdr:col>
      <xdr:colOff>655934</xdr:colOff>
      <xdr:row>7</xdr:row>
      <xdr:rowOff>293077</xdr:rowOff>
    </xdr:to>
    <xdr:sp macro="" textlink="">
      <xdr:nvSpPr>
        <xdr:cNvPr id="18" name="Rectángulo redondeado 17">
          <a:hlinkClick xmlns:r="http://schemas.openxmlformats.org/officeDocument/2006/relationships" r:id="rId16"/>
          <a:extLst>
            <a:ext uri="{FF2B5EF4-FFF2-40B4-BE49-F238E27FC236}">
              <a16:creationId xmlns:a16="http://schemas.microsoft.com/office/drawing/2014/main" id="{C20C8EC1-081D-D470-3482-60A7CA96BA3E}"/>
            </a:ext>
          </a:extLst>
        </xdr:cNvPr>
        <xdr:cNvSpPr/>
      </xdr:nvSpPr>
      <xdr:spPr>
        <a:xfrm>
          <a:off x="20123778" y="2065634"/>
          <a:ext cx="648956" cy="272143"/>
        </a:xfrm>
        <a:prstGeom prst="roundRect">
          <a:avLst/>
        </a:prstGeom>
      </xdr:spPr>
      <xdr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xdr:style>
      <xdr:txBody>
        <a:bodyPr rtlCol="0" anchor="ctr"/>
        <a:lstStyle/>
        <a:p>
          <a:pPr algn="l"/>
          <a:r>
            <a:rPr lang="es-ES_tradnl" sz="900" b="1">
              <a:latin typeface="Arial" panose="020B0604020202020204" pitchFamily="34" charset="0"/>
              <a:cs typeface="Arial" panose="020B0604020202020204" pitchFamily="34" charset="0"/>
            </a:rPr>
            <a:t>FC-16.1</a:t>
          </a:r>
        </a:p>
      </xdr:txBody>
    </xdr:sp>
    <xdr:clientData/>
  </xdr:twoCellAnchor>
  <xdr:twoCellAnchor>
    <xdr:from>
      <xdr:col>21</xdr:col>
      <xdr:colOff>6978</xdr:colOff>
      <xdr:row>7</xdr:row>
      <xdr:rowOff>20934</xdr:rowOff>
    </xdr:from>
    <xdr:to>
      <xdr:col>21</xdr:col>
      <xdr:colOff>655934</xdr:colOff>
      <xdr:row>7</xdr:row>
      <xdr:rowOff>293077</xdr:rowOff>
    </xdr:to>
    <xdr:sp macro="" textlink="">
      <xdr:nvSpPr>
        <xdr:cNvPr id="19" name="Rectángulo redondeado 18">
          <a:hlinkClick xmlns:r="http://schemas.openxmlformats.org/officeDocument/2006/relationships" r:id="rId17"/>
          <a:extLst>
            <a:ext uri="{FF2B5EF4-FFF2-40B4-BE49-F238E27FC236}">
              <a16:creationId xmlns:a16="http://schemas.microsoft.com/office/drawing/2014/main" id="{59F33F36-5E27-CB02-0820-A422BC878C97}"/>
            </a:ext>
          </a:extLst>
        </xdr:cNvPr>
        <xdr:cNvSpPr/>
      </xdr:nvSpPr>
      <xdr:spPr>
        <a:xfrm>
          <a:off x="21076278" y="2065634"/>
          <a:ext cx="648956" cy="272143"/>
        </a:xfrm>
        <a:prstGeom prst="roundRect">
          <a:avLst/>
        </a:prstGeom>
      </xdr:spPr>
      <xdr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xdr:style>
      <xdr:txBody>
        <a:bodyPr rtlCol="0" anchor="ctr"/>
        <a:lstStyle/>
        <a:p>
          <a:pPr algn="l"/>
          <a:r>
            <a:rPr lang="es-ES_tradnl" sz="1000" b="1">
              <a:latin typeface="Arial" panose="020B0604020202020204" pitchFamily="34" charset="0"/>
              <a:cs typeface="Arial" panose="020B0604020202020204" pitchFamily="34" charset="0"/>
            </a:rPr>
            <a:t>FC-17</a:t>
          </a:r>
        </a:p>
      </xdr:txBody>
    </xdr:sp>
    <xdr:clientData/>
  </xdr:twoCellAnchor>
  <xdr:twoCellAnchor>
    <xdr:from>
      <xdr:col>11</xdr:col>
      <xdr:colOff>0</xdr:colOff>
      <xdr:row>5</xdr:row>
      <xdr:rowOff>1</xdr:rowOff>
    </xdr:from>
    <xdr:to>
      <xdr:col>11</xdr:col>
      <xdr:colOff>648956</xdr:colOff>
      <xdr:row>6</xdr:row>
      <xdr:rowOff>1</xdr:rowOff>
    </xdr:to>
    <xdr:sp macro="" textlink="">
      <xdr:nvSpPr>
        <xdr:cNvPr id="20" name="Rectángulo redondeado 19">
          <a:hlinkClick xmlns:r="http://schemas.openxmlformats.org/officeDocument/2006/relationships" r:id="rId18"/>
          <a:extLst>
            <a:ext uri="{FF2B5EF4-FFF2-40B4-BE49-F238E27FC236}">
              <a16:creationId xmlns:a16="http://schemas.microsoft.com/office/drawing/2014/main" id="{A8537DFC-E2F2-DC4B-C009-A8D52376793C}"/>
            </a:ext>
          </a:extLst>
        </xdr:cNvPr>
        <xdr:cNvSpPr/>
      </xdr:nvSpPr>
      <xdr:spPr>
        <a:xfrm>
          <a:off x="11544300" y="1282701"/>
          <a:ext cx="648956" cy="381000"/>
        </a:xfrm>
        <a:prstGeom prst="roundRect">
          <a:avLst/>
        </a:prstGeom>
      </xdr:spPr>
      <xdr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xdr:style>
      <xdr:txBody>
        <a:bodyPr rtlCol="0" anchor="ctr"/>
        <a:lstStyle/>
        <a:p>
          <a:pPr algn="l"/>
          <a:r>
            <a:rPr lang="es-ES_tradnl" sz="800" b="1">
              <a:latin typeface="Arial" panose="020B0604020202020204" pitchFamily="34" charset="0"/>
              <a:cs typeface="Arial" panose="020B0604020202020204" pitchFamily="34" charset="0"/>
            </a:rPr>
            <a:t>General</a:t>
          </a:r>
        </a:p>
      </xdr:txBody>
    </xdr:sp>
    <xdr:clientData/>
  </xdr:twoCellAnchor>
  <xdr:twoCellAnchor>
    <xdr:from>
      <xdr:col>12</xdr:col>
      <xdr:colOff>0</xdr:colOff>
      <xdr:row>5</xdr:row>
      <xdr:rowOff>0</xdr:rowOff>
    </xdr:from>
    <xdr:to>
      <xdr:col>12</xdr:col>
      <xdr:colOff>648956</xdr:colOff>
      <xdr:row>5</xdr:row>
      <xdr:rowOff>272143</xdr:rowOff>
    </xdr:to>
    <xdr:sp macro="" textlink="">
      <xdr:nvSpPr>
        <xdr:cNvPr id="21" name="Rectángulo redondeado 20">
          <a:hlinkClick xmlns:r="http://schemas.openxmlformats.org/officeDocument/2006/relationships" r:id="rId19"/>
          <a:extLst>
            <a:ext uri="{FF2B5EF4-FFF2-40B4-BE49-F238E27FC236}">
              <a16:creationId xmlns:a16="http://schemas.microsoft.com/office/drawing/2014/main" id="{F31CEDC1-5C02-EDE8-4B26-CB303FCA2C65}"/>
            </a:ext>
          </a:extLst>
        </xdr:cNvPr>
        <xdr:cNvSpPr/>
      </xdr:nvSpPr>
      <xdr:spPr>
        <a:xfrm>
          <a:off x="12496800" y="1282700"/>
          <a:ext cx="648956" cy="272143"/>
        </a:xfrm>
        <a:prstGeom prst="roundRect">
          <a:avLst/>
        </a:prstGeom>
      </xdr:spPr>
      <xdr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xdr:style>
      <xdr:txBody>
        <a:bodyPr rtlCol="0" anchor="ctr"/>
        <a:lstStyle/>
        <a:p>
          <a:pPr algn="l"/>
          <a:r>
            <a:rPr lang="es-ES_tradnl" sz="700" b="1">
              <a:latin typeface="Arial" panose="020B0604020202020204" pitchFamily="34" charset="0"/>
              <a:cs typeface="Arial" panose="020B0604020202020204" pitchFamily="34" charset="0"/>
            </a:rPr>
            <a:t>Check list</a:t>
          </a:r>
        </a:p>
      </xdr:txBody>
    </xdr:sp>
    <xdr:clientData/>
  </xdr:twoCellAnchor>
  <xdr:twoCellAnchor>
    <xdr:from>
      <xdr:col>14</xdr:col>
      <xdr:colOff>6978</xdr:colOff>
      <xdr:row>5</xdr:row>
      <xdr:rowOff>20934</xdr:rowOff>
    </xdr:from>
    <xdr:to>
      <xdr:col>14</xdr:col>
      <xdr:colOff>655934</xdr:colOff>
      <xdr:row>5</xdr:row>
      <xdr:rowOff>293077</xdr:rowOff>
    </xdr:to>
    <xdr:sp macro="" textlink="">
      <xdr:nvSpPr>
        <xdr:cNvPr id="22" name="Rectángulo redondeado 21">
          <a:hlinkClick xmlns:r="http://schemas.openxmlformats.org/officeDocument/2006/relationships" r:id="rId20"/>
          <a:extLst>
            <a:ext uri="{FF2B5EF4-FFF2-40B4-BE49-F238E27FC236}">
              <a16:creationId xmlns:a16="http://schemas.microsoft.com/office/drawing/2014/main" id="{4EC3EAF1-2CF7-185E-8CE9-623105609FDD}"/>
            </a:ext>
          </a:extLst>
        </xdr:cNvPr>
        <xdr:cNvSpPr/>
      </xdr:nvSpPr>
      <xdr:spPr>
        <a:xfrm>
          <a:off x="14408778" y="1303634"/>
          <a:ext cx="648956" cy="272143"/>
        </a:xfrm>
        <a:prstGeom prst="roundRect">
          <a:avLst/>
        </a:prstGeom>
      </xdr:spPr>
      <xdr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xdr:style>
      <xdr:txBody>
        <a:bodyPr rtlCol="0" anchor="ctr"/>
        <a:lstStyle/>
        <a:p>
          <a:pPr algn="l"/>
          <a:r>
            <a:rPr lang="es-ES_tradnl" sz="1000" b="1">
              <a:latin typeface="Arial" panose="020B0604020202020204" pitchFamily="34" charset="0"/>
              <a:cs typeface="Arial" panose="020B0604020202020204" pitchFamily="34" charset="0"/>
            </a:rPr>
            <a:t>FC-2</a:t>
          </a:r>
        </a:p>
      </xdr:txBody>
    </xdr:sp>
    <xdr:clientData/>
  </xdr:twoCellAnchor>
  <xdr:twoCellAnchor>
    <xdr:from>
      <xdr:col>15</xdr:col>
      <xdr:colOff>6978</xdr:colOff>
      <xdr:row>5</xdr:row>
      <xdr:rowOff>20934</xdr:rowOff>
    </xdr:from>
    <xdr:to>
      <xdr:col>15</xdr:col>
      <xdr:colOff>655934</xdr:colOff>
      <xdr:row>5</xdr:row>
      <xdr:rowOff>293077</xdr:rowOff>
    </xdr:to>
    <xdr:sp macro="" textlink="">
      <xdr:nvSpPr>
        <xdr:cNvPr id="23" name="Rectángulo redondeado 22">
          <a:hlinkClick xmlns:r="http://schemas.openxmlformats.org/officeDocument/2006/relationships" r:id="rId21"/>
          <a:extLst>
            <a:ext uri="{FF2B5EF4-FFF2-40B4-BE49-F238E27FC236}">
              <a16:creationId xmlns:a16="http://schemas.microsoft.com/office/drawing/2014/main" id="{8B047D1C-09E7-127E-A197-3DFDC73A45B4}"/>
            </a:ext>
          </a:extLst>
        </xdr:cNvPr>
        <xdr:cNvSpPr/>
      </xdr:nvSpPr>
      <xdr:spPr>
        <a:xfrm>
          <a:off x="15361278" y="1303634"/>
          <a:ext cx="648956" cy="272143"/>
        </a:xfrm>
        <a:prstGeom prst="roundRect">
          <a:avLst/>
        </a:prstGeom>
      </xdr:spPr>
      <xdr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xdr:style>
      <xdr:txBody>
        <a:bodyPr rtlCol="0" anchor="ctr"/>
        <a:lstStyle/>
        <a:p>
          <a:pPr algn="l"/>
          <a:r>
            <a:rPr lang="es-ES_tradnl" sz="1000" b="1">
              <a:latin typeface="Arial" panose="020B0604020202020204" pitchFamily="34" charset="0"/>
              <a:cs typeface="Arial" panose="020B0604020202020204" pitchFamily="34" charset="0"/>
            </a:rPr>
            <a:t>FC-3</a:t>
          </a:r>
        </a:p>
      </xdr:txBody>
    </xdr:sp>
    <xdr:clientData/>
  </xdr:twoCellAnchor>
  <xdr:twoCellAnchor>
    <xdr:from>
      <xdr:col>16</xdr:col>
      <xdr:colOff>6978</xdr:colOff>
      <xdr:row>5</xdr:row>
      <xdr:rowOff>20934</xdr:rowOff>
    </xdr:from>
    <xdr:to>
      <xdr:col>16</xdr:col>
      <xdr:colOff>655934</xdr:colOff>
      <xdr:row>5</xdr:row>
      <xdr:rowOff>293077</xdr:rowOff>
    </xdr:to>
    <xdr:sp macro="" textlink="">
      <xdr:nvSpPr>
        <xdr:cNvPr id="24" name="Rectángulo redondeado 23">
          <a:hlinkClick xmlns:r="http://schemas.openxmlformats.org/officeDocument/2006/relationships" r:id="rId22"/>
          <a:extLst>
            <a:ext uri="{FF2B5EF4-FFF2-40B4-BE49-F238E27FC236}">
              <a16:creationId xmlns:a16="http://schemas.microsoft.com/office/drawing/2014/main" id="{05B0BCD0-EA4B-304D-16A2-FBC604828D69}"/>
            </a:ext>
          </a:extLst>
        </xdr:cNvPr>
        <xdr:cNvSpPr/>
      </xdr:nvSpPr>
      <xdr:spPr>
        <a:xfrm>
          <a:off x="16313778" y="1303634"/>
          <a:ext cx="648956" cy="272143"/>
        </a:xfrm>
        <a:prstGeom prst="roundRect">
          <a:avLst/>
        </a:prstGeom>
      </xdr:spPr>
      <xdr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xdr:style>
      <xdr:txBody>
        <a:bodyPr rtlCol="0" anchor="ctr"/>
        <a:lstStyle/>
        <a:p>
          <a:pPr algn="l"/>
          <a:r>
            <a:rPr lang="es-ES_tradnl" sz="1000" b="1">
              <a:latin typeface="Arial" panose="020B0604020202020204" pitchFamily="34" charset="0"/>
              <a:cs typeface="Arial" panose="020B0604020202020204" pitchFamily="34" charset="0"/>
            </a:rPr>
            <a:t>FC-3.1</a:t>
          </a:r>
        </a:p>
      </xdr:txBody>
    </xdr:sp>
    <xdr:clientData/>
  </xdr:twoCellAnchor>
  <xdr:twoCellAnchor>
    <xdr:from>
      <xdr:col>17</xdr:col>
      <xdr:colOff>6978</xdr:colOff>
      <xdr:row>5</xdr:row>
      <xdr:rowOff>20934</xdr:rowOff>
    </xdr:from>
    <xdr:to>
      <xdr:col>17</xdr:col>
      <xdr:colOff>655934</xdr:colOff>
      <xdr:row>5</xdr:row>
      <xdr:rowOff>293077</xdr:rowOff>
    </xdr:to>
    <xdr:sp macro="" textlink="">
      <xdr:nvSpPr>
        <xdr:cNvPr id="25" name="Rectángulo redondeado 24">
          <a:hlinkClick xmlns:r="http://schemas.openxmlformats.org/officeDocument/2006/relationships" r:id="rId23"/>
          <a:extLst>
            <a:ext uri="{FF2B5EF4-FFF2-40B4-BE49-F238E27FC236}">
              <a16:creationId xmlns:a16="http://schemas.microsoft.com/office/drawing/2014/main" id="{5C202CAB-8E9E-D316-8164-D689684EAB46}"/>
            </a:ext>
          </a:extLst>
        </xdr:cNvPr>
        <xdr:cNvSpPr/>
      </xdr:nvSpPr>
      <xdr:spPr>
        <a:xfrm>
          <a:off x="17266278" y="1303634"/>
          <a:ext cx="648956" cy="272143"/>
        </a:xfrm>
        <a:prstGeom prst="roundRect">
          <a:avLst/>
        </a:prstGeom>
      </xdr:spPr>
      <xdr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xdr:style>
      <xdr:txBody>
        <a:bodyPr rtlCol="0" anchor="ctr"/>
        <a:lstStyle/>
        <a:p>
          <a:pPr algn="l"/>
          <a:r>
            <a:rPr lang="es-ES_tradnl" sz="1000" b="1">
              <a:latin typeface="Arial" panose="020B0604020202020204" pitchFamily="34" charset="0"/>
              <a:cs typeface="Arial" panose="020B0604020202020204" pitchFamily="34" charset="0"/>
            </a:rPr>
            <a:t>FC-4 A</a:t>
          </a:r>
        </a:p>
      </xdr:txBody>
    </xdr:sp>
    <xdr:clientData/>
  </xdr:twoCellAnchor>
  <xdr:twoCellAnchor>
    <xdr:from>
      <xdr:col>13</xdr:col>
      <xdr:colOff>0</xdr:colOff>
      <xdr:row>5</xdr:row>
      <xdr:rowOff>20934</xdr:rowOff>
    </xdr:from>
    <xdr:to>
      <xdr:col>13</xdr:col>
      <xdr:colOff>648956</xdr:colOff>
      <xdr:row>5</xdr:row>
      <xdr:rowOff>293077</xdr:rowOff>
    </xdr:to>
    <xdr:sp macro="" textlink="">
      <xdr:nvSpPr>
        <xdr:cNvPr id="26" name="Rectángulo redondeado 25">
          <a:hlinkClick xmlns:r="http://schemas.openxmlformats.org/officeDocument/2006/relationships" r:id="rId24"/>
          <a:extLst>
            <a:ext uri="{FF2B5EF4-FFF2-40B4-BE49-F238E27FC236}">
              <a16:creationId xmlns:a16="http://schemas.microsoft.com/office/drawing/2014/main" id="{05295EB4-D113-07B4-639E-814F5B9A278D}"/>
            </a:ext>
          </a:extLst>
        </xdr:cNvPr>
        <xdr:cNvSpPr/>
      </xdr:nvSpPr>
      <xdr:spPr>
        <a:xfrm>
          <a:off x="13449300" y="1303634"/>
          <a:ext cx="648956" cy="272143"/>
        </a:xfrm>
        <a:prstGeom prst="roundRect">
          <a:avLst/>
        </a:prstGeom>
      </xdr:spPr>
      <xdr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xdr:style>
      <xdr:txBody>
        <a:bodyPr rtlCol="0" anchor="ctr"/>
        <a:lstStyle/>
        <a:p>
          <a:pPr algn="l"/>
          <a:r>
            <a:rPr lang="es-ES_tradnl" sz="1000" b="1">
              <a:latin typeface="Arial" panose="020B0604020202020204" pitchFamily="34" charset="0"/>
              <a:cs typeface="Arial" panose="020B0604020202020204" pitchFamily="34" charset="0"/>
            </a:rPr>
            <a:t>FC-1</a:t>
          </a:r>
        </a:p>
      </xdr:txBody>
    </xdr:sp>
    <xdr:clientData/>
  </xdr:twoCellAnchor>
  <xdr:twoCellAnchor>
    <xdr:from>
      <xdr:col>23</xdr:col>
      <xdr:colOff>0</xdr:colOff>
      <xdr:row>5</xdr:row>
      <xdr:rowOff>33420</xdr:rowOff>
    </xdr:from>
    <xdr:to>
      <xdr:col>23</xdr:col>
      <xdr:colOff>648956</xdr:colOff>
      <xdr:row>6</xdr:row>
      <xdr:rowOff>11140</xdr:rowOff>
    </xdr:to>
    <xdr:sp macro="" textlink="">
      <xdr:nvSpPr>
        <xdr:cNvPr id="27" name="Rectángulo redondeado 26">
          <a:hlinkClick xmlns:r="http://schemas.openxmlformats.org/officeDocument/2006/relationships" r:id="rId25"/>
          <a:extLst>
            <a:ext uri="{FF2B5EF4-FFF2-40B4-BE49-F238E27FC236}">
              <a16:creationId xmlns:a16="http://schemas.microsoft.com/office/drawing/2014/main" id="{10D218A9-D981-F99E-28FD-138BDA4FC1E1}"/>
            </a:ext>
          </a:extLst>
        </xdr:cNvPr>
        <xdr:cNvSpPr/>
      </xdr:nvSpPr>
      <xdr:spPr>
        <a:xfrm>
          <a:off x="35459737" y="1593069"/>
          <a:ext cx="648956" cy="267369"/>
        </a:xfrm>
        <a:prstGeom prst="roundRect">
          <a:avLst/>
        </a:prstGeom>
      </xdr:spPr>
      <xdr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xdr:style>
      <xdr:txBody>
        <a:bodyPr rtlCol="0" anchor="ctr"/>
        <a:lstStyle/>
        <a:p>
          <a:pPr algn="l"/>
          <a:r>
            <a:rPr lang="es-ES_tradnl" sz="1000" b="1">
              <a:latin typeface="Arial" panose="020B0604020202020204" pitchFamily="34" charset="0"/>
              <a:cs typeface="Arial" panose="020B0604020202020204" pitchFamily="34" charset="0"/>
            </a:rPr>
            <a:t>FC-8</a:t>
          </a:r>
        </a:p>
      </xdr:txBody>
    </xdr:sp>
    <xdr:clientData/>
  </xdr:twoCellAnchor>
  <xdr:twoCellAnchor>
    <xdr:from>
      <xdr:col>12</xdr:col>
      <xdr:colOff>0</xdr:colOff>
      <xdr:row>7</xdr:row>
      <xdr:rowOff>0</xdr:rowOff>
    </xdr:from>
    <xdr:to>
      <xdr:col>12</xdr:col>
      <xdr:colOff>648956</xdr:colOff>
      <xdr:row>8</xdr:row>
      <xdr:rowOff>71617</xdr:rowOff>
    </xdr:to>
    <xdr:sp macro="" textlink="">
      <xdr:nvSpPr>
        <xdr:cNvPr id="28" name="Rectángulo redondeado 27">
          <a:hlinkClick xmlns:r="http://schemas.openxmlformats.org/officeDocument/2006/relationships" r:id="rId26"/>
          <a:extLst>
            <a:ext uri="{FF2B5EF4-FFF2-40B4-BE49-F238E27FC236}">
              <a16:creationId xmlns:a16="http://schemas.microsoft.com/office/drawing/2014/main" id="{0483996E-4B39-BDA5-E676-7C924940A6A7}"/>
            </a:ext>
          </a:extLst>
        </xdr:cNvPr>
        <xdr:cNvSpPr/>
      </xdr:nvSpPr>
      <xdr:spPr>
        <a:xfrm>
          <a:off x="24920965" y="2049825"/>
          <a:ext cx="648956" cy="272143"/>
        </a:xfrm>
        <a:prstGeom prst="roundRect">
          <a:avLst/>
        </a:prstGeom>
      </xdr:spPr>
      <xdr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xdr:style>
      <xdr:txBody>
        <a:bodyPr rtlCol="0" anchor="ctr"/>
        <a:lstStyle/>
        <a:p>
          <a:pPr algn="l"/>
          <a:r>
            <a:rPr lang="es-ES_tradnl" sz="1000" b="1">
              <a:latin typeface="Arial" panose="020B0604020202020204" pitchFamily="34" charset="0"/>
              <a:cs typeface="Arial" panose="020B0604020202020204" pitchFamily="34" charset="0"/>
            </a:rPr>
            <a:t>FC-9_1</a:t>
          </a:r>
        </a:p>
      </xdr:txBody>
    </xdr:sp>
    <xdr:clientData/>
  </xdr:twoCellAnchor>
</xdr:wsDr>
</file>

<file path=xl/drawings/drawing27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85725</xdr:colOff>
      <xdr:row>0</xdr:row>
      <xdr:rowOff>190500</xdr:rowOff>
    </xdr:from>
    <xdr:to>
      <xdr:col>3</xdr:col>
      <xdr:colOff>0</xdr:colOff>
      <xdr:row>3</xdr:row>
      <xdr:rowOff>95250</xdr:rowOff>
    </xdr:to>
    <xdr:pic>
      <xdr:nvPicPr>
        <xdr:cNvPr id="27649" name="Picture 1" descr="logo-administrativo">
          <a:extLst>
            <a:ext uri="{FF2B5EF4-FFF2-40B4-BE49-F238E27FC236}">
              <a16:creationId xmlns:a16="http://schemas.microsoft.com/office/drawing/2014/main" id="{A3A902F2-FE94-C889-87F5-381B45CCF53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190500"/>
          <a:ext cx="952500" cy="762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85725</xdr:colOff>
      <xdr:row>0</xdr:row>
      <xdr:rowOff>190500</xdr:rowOff>
    </xdr:from>
    <xdr:to>
      <xdr:col>2</xdr:col>
      <xdr:colOff>1190625</xdr:colOff>
      <xdr:row>3</xdr:row>
      <xdr:rowOff>114300</xdr:rowOff>
    </xdr:to>
    <xdr:pic>
      <xdr:nvPicPr>
        <xdr:cNvPr id="3073" name="Picture 1" descr="logo-administrativo">
          <a:extLst>
            <a:ext uri="{FF2B5EF4-FFF2-40B4-BE49-F238E27FC236}">
              <a16:creationId xmlns:a16="http://schemas.microsoft.com/office/drawing/2014/main" id="{4AD2B8F5-A14F-534B-E299-43761A8E046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52475" y="190500"/>
          <a:ext cx="1104900" cy="781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18</xdr:col>
      <xdr:colOff>0</xdr:colOff>
      <xdr:row>46</xdr:row>
      <xdr:rowOff>20934</xdr:rowOff>
    </xdr:from>
    <xdr:to>
      <xdr:col>18</xdr:col>
      <xdr:colOff>0</xdr:colOff>
      <xdr:row>46</xdr:row>
      <xdr:rowOff>293077</xdr:rowOff>
    </xdr:to>
    <xdr:sp macro="" textlink="">
      <xdr:nvSpPr>
        <xdr:cNvPr id="36" name="Rectángulo redondeado 35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8FF31A5C-7AD4-843B-3B05-E44D21C86AD6}"/>
            </a:ext>
          </a:extLst>
        </xdr:cNvPr>
        <xdr:cNvSpPr/>
      </xdr:nvSpPr>
      <xdr:spPr>
        <a:xfrm>
          <a:off x="20212678" y="6459834"/>
          <a:ext cx="648956" cy="272143"/>
        </a:xfrm>
        <a:prstGeom prst="roundRect">
          <a:avLst/>
        </a:prstGeom>
      </xdr:spPr>
      <xdr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xdr:style>
      <xdr:txBody>
        <a:bodyPr rtlCol="0" anchor="ctr"/>
        <a:lstStyle/>
        <a:p>
          <a:pPr algn="l"/>
          <a:r>
            <a:rPr lang="es-ES_tradnl" sz="1000" b="1">
              <a:latin typeface="Arial" panose="020B0604020202020204" pitchFamily="34" charset="0"/>
              <a:cs typeface="Arial" panose="020B0604020202020204" pitchFamily="34" charset="0"/>
            </a:rPr>
            <a:t>FC-4 A</a:t>
          </a:r>
        </a:p>
      </xdr:txBody>
    </xdr:sp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114300</xdr:colOff>
      <xdr:row>0</xdr:row>
      <xdr:rowOff>161925</xdr:rowOff>
    </xdr:from>
    <xdr:to>
      <xdr:col>2</xdr:col>
      <xdr:colOff>1104900</xdr:colOff>
      <xdr:row>3</xdr:row>
      <xdr:rowOff>66675</xdr:rowOff>
    </xdr:to>
    <xdr:pic>
      <xdr:nvPicPr>
        <xdr:cNvPr id="4097" name="Picture 1" descr="logo-administrativo">
          <a:extLst>
            <a:ext uri="{FF2B5EF4-FFF2-40B4-BE49-F238E27FC236}">
              <a16:creationId xmlns:a16="http://schemas.microsoft.com/office/drawing/2014/main" id="{2126D3EC-569D-C757-11B2-FAB00D3B1F6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33425" y="161925"/>
          <a:ext cx="990600" cy="762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114300</xdr:colOff>
      <xdr:row>0</xdr:row>
      <xdr:rowOff>161925</xdr:rowOff>
    </xdr:from>
    <xdr:to>
      <xdr:col>2</xdr:col>
      <xdr:colOff>1104900</xdr:colOff>
      <xdr:row>3</xdr:row>
      <xdr:rowOff>66675</xdr:rowOff>
    </xdr:to>
    <xdr:pic>
      <xdr:nvPicPr>
        <xdr:cNvPr id="5121" name="Picture 1" descr="logo-administrativo">
          <a:extLst>
            <a:ext uri="{FF2B5EF4-FFF2-40B4-BE49-F238E27FC236}">
              <a16:creationId xmlns:a16="http://schemas.microsoft.com/office/drawing/2014/main" id="{B1BF5FBF-14BB-687D-DD22-FD27B36655F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33425" y="161925"/>
          <a:ext cx="990600" cy="762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219075</xdr:colOff>
      <xdr:row>0</xdr:row>
      <xdr:rowOff>114300</xdr:rowOff>
    </xdr:from>
    <xdr:to>
      <xdr:col>3</xdr:col>
      <xdr:colOff>0</xdr:colOff>
      <xdr:row>3</xdr:row>
      <xdr:rowOff>9525</xdr:rowOff>
    </xdr:to>
    <xdr:pic>
      <xdr:nvPicPr>
        <xdr:cNvPr id="6145" name="Imagen 1">
          <a:extLst>
            <a:ext uri="{FF2B5EF4-FFF2-40B4-BE49-F238E27FC236}">
              <a16:creationId xmlns:a16="http://schemas.microsoft.com/office/drawing/2014/main" id="{DA461B25-2431-5F0F-071D-CE809B52EC8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114300"/>
          <a:ext cx="942975" cy="752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114300</xdr:colOff>
      <xdr:row>0</xdr:row>
      <xdr:rowOff>161925</xdr:rowOff>
    </xdr:from>
    <xdr:to>
      <xdr:col>2</xdr:col>
      <xdr:colOff>1104900</xdr:colOff>
      <xdr:row>3</xdr:row>
      <xdr:rowOff>66675</xdr:rowOff>
    </xdr:to>
    <xdr:pic>
      <xdr:nvPicPr>
        <xdr:cNvPr id="7169" name="Picture 1" descr="logo-administrativo">
          <a:extLst>
            <a:ext uri="{FF2B5EF4-FFF2-40B4-BE49-F238E27FC236}">
              <a16:creationId xmlns:a16="http://schemas.microsoft.com/office/drawing/2014/main" id="{00B7CE25-4F95-FC58-2601-3393A81DB26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33425" y="161925"/>
          <a:ext cx="990600" cy="762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114300</xdr:colOff>
      <xdr:row>0</xdr:row>
      <xdr:rowOff>161925</xdr:rowOff>
    </xdr:from>
    <xdr:to>
      <xdr:col>2</xdr:col>
      <xdr:colOff>1104900</xdr:colOff>
      <xdr:row>3</xdr:row>
      <xdr:rowOff>66675</xdr:rowOff>
    </xdr:to>
    <xdr:pic>
      <xdr:nvPicPr>
        <xdr:cNvPr id="8193" name="Picture 1" descr="logo-administrativo">
          <a:extLst>
            <a:ext uri="{FF2B5EF4-FFF2-40B4-BE49-F238E27FC236}">
              <a16:creationId xmlns:a16="http://schemas.microsoft.com/office/drawing/2014/main" id="{625ED5E8-7D8C-6475-B55E-9A3D1BA8E11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33425" y="161925"/>
          <a:ext cx="990600" cy="762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114300</xdr:colOff>
      <xdr:row>0</xdr:row>
      <xdr:rowOff>161925</xdr:rowOff>
    </xdr:from>
    <xdr:to>
      <xdr:col>2</xdr:col>
      <xdr:colOff>1104900</xdr:colOff>
      <xdr:row>3</xdr:row>
      <xdr:rowOff>66675</xdr:rowOff>
    </xdr:to>
    <xdr:pic>
      <xdr:nvPicPr>
        <xdr:cNvPr id="9217" name="Picture 1" descr="logo-administrativo">
          <a:extLst>
            <a:ext uri="{FF2B5EF4-FFF2-40B4-BE49-F238E27FC236}">
              <a16:creationId xmlns:a16="http://schemas.microsoft.com/office/drawing/2014/main" id="{94A464D8-EA14-D5B8-74ED-2FA99FE356B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33425" y="161925"/>
          <a:ext cx="990600" cy="762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119F7FD-4E25-41D6-A2EB-EDF441273DD0}" name="Tabla1" displayName="Tabla1" ref="AN13:AQ40" totalsRowShown="0" headerRowDxfId="47" dataDxfId="46">
  <autoFilter ref="AN13:AQ40" xr:uid="{8E00C67C-6723-420B-95D7-E9B471BCCB16}"/>
  <tableColumns count="4">
    <tableColumn id="1" xr3:uid="{00000000-0010-0000-0100-000001000000}" name="EE_DD" dataDxfId="51"/>
    <tableColumn id="2" xr3:uid="{00000000-0010-0000-0100-000002000000}" name="Clasificación_IGAE" dataDxfId="50"/>
    <tableColumn id="3" xr3:uid="{00000000-0010-0000-0100-000003000000}" name="Participación ECIT" dataDxfId="49"/>
    <tableColumn id="4" xr3:uid="{00000000-0010-0000-0100-000004000000}" name="Columna1" dataDxfId="48"/>
  </tableColumns>
  <tableStyleInfo name="TableStyleMedium9"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C0B904FC-C18D-427F-B957-9F1F235DF592}" name="Tabla2" displayName="Tabla2" ref="AR13:AR15" totalsRowShown="0" headerRowDxfId="44" dataDxfId="43">
  <autoFilter ref="AR13:AR15" xr:uid="{ADFEF200-8737-491F-8777-08F2C6C087EE}"/>
  <tableColumns count="1">
    <tableColumn id="1" xr3:uid="{00000000-0010-0000-0300-000001000000}" name="Cuentas Anuales" dataDxfId="45"/>
  </tableColumns>
  <tableStyleInfo name="TableStyleMedium2" showFirstColumn="0" showLastColumn="0" showRowStripes="1" showColumnStripes="0"/>
</table>
</file>

<file path=xl/tables/table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3" xr:uid="{E4232F24-757D-4AB4-BC02-6FCD7BA00DDC}" name="Tabla3" displayName="Tabla3" ref="AM18:AM22" totalsRowShown="0" headerRowDxfId="3" dataDxfId="2">
  <autoFilter ref="AM18:AM22" xr:uid="{C498BDB4-48A7-4FA2-8FA9-7619242370C9}"/>
  <tableColumns count="1">
    <tableColumn id="1" xr3:uid="{00000000-0010-0000-0500-000001000000}" name="Columna1" dataDxfId="4"/>
  </tableColumns>
  <tableStyleInfo name="TableStyleMedium9" showFirstColumn="0" showLastColumn="0" showRowStripes="1" showColumnStripes="0"/>
</table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30000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/>
      <a:bodyPr/>
      <a:lstStyle/>
      <a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a:style>
    </a:spDef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table" Target="../tables/table1.x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4" Type="http://schemas.openxmlformats.org/officeDocument/2006/relationships/table" Target="../tables/table2.xml"/></Relationships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0.xml"/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1.xml"/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2.xml"/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3.xml"/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4.xml"/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5.xml"/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6.xml"/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7.xml"/><Relationship Id="rId1" Type="http://schemas.openxmlformats.org/officeDocument/2006/relationships/printerSettings" Target="../printerSettings/printerSettings17.bin"/></Relationships>
</file>

<file path=xl/worksheets/_rels/sheet1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8.xml"/><Relationship Id="rId1" Type="http://schemas.openxmlformats.org/officeDocument/2006/relationships/printerSettings" Target="../printerSettings/printerSettings18.bin"/></Relationships>
</file>

<file path=xl/worksheets/_rels/sheet1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9.xml"/><Relationship Id="rId1" Type="http://schemas.openxmlformats.org/officeDocument/2006/relationships/printerSettings" Target="../printerSettings/printerSettings19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0.xml"/><Relationship Id="rId1" Type="http://schemas.openxmlformats.org/officeDocument/2006/relationships/printerSettings" Target="../printerSettings/printerSettings20.bin"/></Relationships>
</file>

<file path=xl/worksheets/_rels/sheet2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1.xml"/><Relationship Id="rId1" Type="http://schemas.openxmlformats.org/officeDocument/2006/relationships/printerSettings" Target="../printerSettings/printerSettings21.bin"/></Relationships>
</file>

<file path=xl/worksheets/_rels/sheet2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2.xml"/><Relationship Id="rId1" Type="http://schemas.openxmlformats.org/officeDocument/2006/relationships/printerSettings" Target="../printerSettings/printerSettings22.bin"/></Relationships>
</file>

<file path=xl/worksheets/_rels/sheet2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3.xml"/><Relationship Id="rId1" Type="http://schemas.openxmlformats.org/officeDocument/2006/relationships/printerSettings" Target="../printerSettings/printerSettings23.bin"/></Relationships>
</file>

<file path=xl/worksheets/_rels/sheet2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4.xml"/><Relationship Id="rId1" Type="http://schemas.openxmlformats.org/officeDocument/2006/relationships/printerSettings" Target="../printerSettings/printerSettings24.bin"/></Relationships>
</file>

<file path=xl/worksheets/_rels/sheet2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5.xml"/><Relationship Id="rId1" Type="http://schemas.openxmlformats.org/officeDocument/2006/relationships/printerSettings" Target="../printerSettings/printerSettings25.bin"/></Relationships>
</file>

<file path=xl/worksheets/_rels/sheet2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6.xml"/></Relationships>
</file>

<file path=xl/worksheets/_rels/sheet2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7.xml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table" Target="../tables/table3.xml"/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D4A050D-6501-434A-8190-137F8AE94F19}">
  <sheetPr codeName="Hoja1">
    <pageSetUpPr fitToPage="1"/>
  </sheetPr>
  <dimension ref="B1:BC170"/>
  <sheetViews>
    <sheetView topLeftCell="A4" zoomScaleNormal="100" workbookViewId="0">
      <selection activeCell="F32" sqref="F32"/>
    </sheetView>
  </sheetViews>
  <sheetFormatPr baseColWidth="10" defaultColWidth="10.6640625" defaultRowHeight="15"/>
  <cols>
    <col min="1" max="1" width="3.109375" style="3" customWidth="1"/>
    <col min="2" max="2" width="3.44140625" style="2" customWidth="1"/>
    <col min="3" max="3" width="17.33203125" style="3" customWidth="1"/>
    <col min="4" max="13" width="10.6640625" style="3"/>
    <col min="14" max="14" width="3.109375" style="2" customWidth="1"/>
    <col min="15" max="25" width="10.6640625" style="2"/>
    <col min="26" max="27" width="10.6640625" style="412"/>
    <col min="28" max="28" width="10.6640625" style="847"/>
    <col min="29" max="29" width="16.88671875" style="847" customWidth="1"/>
    <col min="30" max="39" width="10.6640625" style="847"/>
    <col min="40" max="40" width="84.88671875" style="847" bestFit="1" customWidth="1"/>
    <col min="41" max="41" width="18.88671875" style="847" customWidth="1"/>
    <col min="42" max="42" width="17.44140625" style="847" customWidth="1"/>
    <col min="43" max="43" width="10.6640625" style="847"/>
    <col min="44" max="44" width="17.6640625" style="847" customWidth="1"/>
    <col min="45" max="54" width="10.6640625" style="847"/>
    <col min="55" max="16384" width="10.6640625" style="3"/>
  </cols>
  <sheetData>
    <row r="1" spans="2:55" s="2" customFormat="1" ht="23.1" customHeight="1">
      <c r="B1" s="412"/>
      <c r="C1" s="412"/>
      <c r="D1" s="412"/>
      <c r="E1" s="412"/>
      <c r="F1" s="412"/>
      <c r="G1" s="412"/>
      <c r="H1" s="412"/>
      <c r="I1" s="412"/>
      <c r="J1" s="412"/>
      <c r="K1" s="412"/>
      <c r="L1" s="412"/>
      <c r="M1" s="412"/>
      <c r="N1" s="412"/>
      <c r="O1" s="412"/>
      <c r="P1" s="412"/>
      <c r="Q1" s="412"/>
      <c r="R1" s="412"/>
      <c r="S1" s="412"/>
      <c r="T1" s="412"/>
      <c r="U1" s="412"/>
      <c r="V1" s="412"/>
      <c r="W1" s="412"/>
      <c r="X1" s="412"/>
      <c r="Y1" s="412"/>
      <c r="Z1" s="412"/>
      <c r="AA1" s="412"/>
      <c r="AB1" s="412"/>
      <c r="AC1" s="412"/>
      <c r="AD1" s="412"/>
      <c r="AE1" s="412"/>
      <c r="AF1" s="412"/>
      <c r="AG1" s="412"/>
      <c r="AH1" s="412"/>
      <c r="AI1" s="412"/>
      <c r="AJ1" s="412"/>
      <c r="AK1" s="412"/>
      <c r="AL1" s="412"/>
      <c r="AM1" s="412"/>
      <c r="AN1" s="412"/>
      <c r="AO1" s="412"/>
      <c r="AP1" s="412"/>
      <c r="AQ1" s="412"/>
      <c r="AR1" s="412"/>
      <c r="AS1" s="412"/>
      <c r="AT1" s="412"/>
      <c r="AU1" s="412"/>
      <c r="AV1" s="412"/>
      <c r="AW1" s="412"/>
      <c r="AX1" s="412"/>
      <c r="AY1" s="412"/>
      <c r="AZ1" s="412"/>
      <c r="BA1" s="412"/>
      <c r="BB1" s="412"/>
      <c r="BC1" s="412"/>
    </row>
    <row r="2" spans="2:55" s="2" customFormat="1" ht="23.1" customHeight="1">
      <c r="B2" s="412"/>
      <c r="C2" s="412"/>
      <c r="D2" s="597" t="s">
        <v>0</v>
      </c>
      <c r="E2" s="412"/>
      <c r="F2" s="412"/>
      <c r="G2" s="412"/>
      <c r="H2" s="412"/>
      <c r="I2" s="412"/>
      <c r="J2" s="412"/>
      <c r="K2" s="412"/>
      <c r="L2" s="412"/>
      <c r="M2" s="412"/>
      <c r="N2" s="412"/>
      <c r="O2" s="412"/>
      <c r="P2" s="412"/>
      <c r="Q2" s="412"/>
      <c r="R2" s="412"/>
      <c r="S2" s="412"/>
      <c r="T2" s="412"/>
      <c r="U2" s="412"/>
      <c r="V2" s="412"/>
      <c r="W2" s="412"/>
      <c r="X2" s="412"/>
      <c r="Y2" s="412"/>
      <c r="Z2" s="412"/>
      <c r="AA2" s="412"/>
      <c r="AB2" s="412"/>
      <c r="AC2" s="412"/>
      <c r="AD2" s="412"/>
      <c r="AE2" s="412"/>
      <c r="AF2" s="412"/>
      <c r="AG2" s="412"/>
      <c r="AH2" s="412"/>
      <c r="AI2" s="412"/>
      <c r="AJ2" s="412"/>
      <c r="AK2" s="412"/>
      <c r="AL2" s="412"/>
      <c r="AM2" s="412"/>
      <c r="AN2" s="412"/>
      <c r="AO2" s="412"/>
      <c r="AP2" s="412"/>
      <c r="AQ2" s="412"/>
      <c r="AR2" s="412"/>
      <c r="AS2" s="412"/>
      <c r="AT2" s="412"/>
      <c r="AU2" s="412"/>
      <c r="AV2" s="412"/>
      <c r="AW2" s="412"/>
      <c r="AX2" s="412"/>
      <c r="AY2" s="412"/>
      <c r="AZ2" s="412"/>
      <c r="BA2" s="412"/>
      <c r="BB2" s="412"/>
      <c r="BC2" s="412"/>
    </row>
    <row r="3" spans="2:55" s="2" customFormat="1" ht="23.1" customHeight="1">
      <c r="B3" s="412"/>
      <c r="C3" s="412"/>
      <c r="D3" s="391" t="s">
        <v>1</v>
      </c>
      <c r="E3" s="412"/>
      <c r="F3" s="412"/>
      <c r="G3" s="412"/>
      <c r="H3" s="412"/>
      <c r="I3" s="412"/>
      <c r="J3" s="412"/>
      <c r="K3" s="412"/>
      <c r="L3" s="412"/>
      <c r="M3" s="412"/>
      <c r="N3" s="412"/>
      <c r="O3" s="412"/>
      <c r="P3" s="412"/>
      <c r="Q3" s="412"/>
      <c r="R3" s="412"/>
      <c r="S3" s="412"/>
      <c r="T3" s="412"/>
      <c r="U3" s="412"/>
      <c r="V3" s="412"/>
      <c r="W3" s="412"/>
      <c r="X3" s="412"/>
      <c r="Y3" s="412"/>
      <c r="Z3" s="412"/>
      <c r="AA3" s="412"/>
      <c r="AB3" s="412"/>
      <c r="AC3" s="412"/>
      <c r="AD3" s="412"/>
      <c r="AE3" s="412"/>
      <c r="AF3" s="412"/>
      <c r="AG3" s="412"/>
      <c r="AH3" s="412"/>
      <c r="AI3" s="412"/>
      <c r="AJ3" s="412"/>
      <c r="AK3" s="412"/>
      <c r="AL3" s="412"/>
      <c r="AM3" s="412"/>
      <c r="AN3" s="412"/>
      <c r="AO3" s="412"/>
      <c r="AP3" s="412"/>
      <c r="AQ3" s="412"/>
      <c r="AR3" s="412"/>
      <c r="AS3" s="412"/>
      <c r="AT3" s="412"/>
      <c r="AU3" s="412"/>
      <c r="AV3" s="412"/>
      <c r="AW3" s="412"/>
      <c r="AX3" s="412"/>
      <c r="AY3" s="412"/>
      <c r="AZ3" s="412"/>
      <c r="BA3" s="412"/>
      <c r="BB3" s="412"/>
      <c r="BC3" s="412"/>
    </row>
    <row r="4" spans="2:55" s="2" customFormat="1" ht="23.1" customHeight="1" thickBot="1">
      <c r="B4" s="412"/>
      <c r="C4" s="412"/>
      <c r="D4" s="412"/>
      <c r="E4" s="412"/>
      <c r="F4" s="412"/>
      <c r="G4" s="412"/>
      <c r="H4" s="412"/>
      <c r="I4" s="412"/>
      <c r="J4" s="412"/>
      <c r="K4" s="412"/>
      <c r="L4" s="412"/>
      <c r="M4" s="412"/>
      <c r="N4" s="412"/>
      <c r="O4" s="412"/>
      <c r="P4" s="412"/>
      <c r="Q4" s="412"/>
      <c r="R4" s="412"/>
      <c r="S4" s="412"/>
      <c r="T4" s="412"/>
      <c r="U4" s="412"/>
      <c r="V4" s="412"/>
      <c r="W4" s="412"/>
      <c r="X4" s="412"/>
      <c r="Y4" s="412"/>
      <c r="Z4" s="412"/>
      <c r="AA4" s="412"/>
      <c r="AB4" s="412"/>
      <c r="AC4" s="412"/>
      <c r="AD4" s="412"/>
      <c r="AE4" s="412"/>
      <c r="AF4" s="412"/>
      <c r="AG4" s="412"/>
      <c r="AH4" s="412"/>
      <c r="AI4" s="412"/>
      <c r="AJ4" s="412"/>
      <c r="AK4" s="412"/>
      <c r="AL4" s="412"/>
      <c r="AM4" s="412"/>
      <c r="AN4" s="412"/>
      <c r="AO4" s="412"/>
      <c r="AP4" s="412"/>
      <c r="AQ4" s="412"/>
      <c r="AR4" s="412"/>
      <c r="AS4" s="412"/>
      <c r="AT4" s="412"/>
      <c r="AU4" s="412"/>
      <c r="AV4" s="412"/>
      <c r="AW4" s="412"/>
      <c r="AX4" s="412"/>
      <c r="AY4" s="412"/>
      <c r="AZ4" s="412"/>
      <c r="BA4" s="412"/>
      <c r="BB4" s="412"/>
      <c r="BC4" s="412"/>
    </row>
    <row r="5" spans="2:55" s="2" customFormat="1" ht="9" customHeight="1">
      <c r="B5" s="871"/>
      <c r="C5" s="872"/>
      <c r="D5" s="872"/>
      <c r="E5" s="872"/>
      <c r="F5" s="872"/>
      <c r="G5" s="872"/>
      <c r="H5" s="872"/>
      <c r="I5" s="872"/>
      <c r="J5" s="872"/>
      <c r="K5" s="872"/>
      <c r="L5" s="872"/>
      <c r="M5" s="872"/>
      <c r="N5" s="873"/>
      <c r="O5" s="412"/>
      <c r="P5" s="412"/>
      <c r="Q5" s="412"/>
      <c r="R5" s="412"/>
      <c r="S5" s="412"/>
      <c r="T5" s="412"/>
      <c r="U5" s="412"/>
      <c r="V5" s="412"/>
      <c r="W5" s="412"/>
      <c r="X5" s="412"/>
      <c r="Y5" s="412"/>
      <c r="Z5" s="412"/>
      <c r="AA5" s="412"/>
      <c r="AB5" s="412"/>
      <c r="AC5" s="412"/>
      <c r="AD5" s="412"/>
      <c r="AE5" s="412"/>
      <c r="AF5" s="412"/>
      <c r="AG5" s="412"/>
      <c r="AH5" s="412"/>
      <c r="AI5" s="412"/>
      <c r="AJ5" s="412"/>
      <c r="AK5" s="412"/>
      <c r="AL5" s="412"/>
      <c r="AM5" s="412"/>
      <c r="AN5" s="412"/>
      <c r="AO5" s="412"/>
      <c r="AP5" s="412"/>
      <c r="AQ5" s="412"/>
      <c r="AR5" s="412"/>
      <c r="AS5" s="412"/>
      <c r="AT5" s="412"/>
      <c r="AU5" s="412"/>
      <c r="AV5" s="412"/>
      <c r="AW5" s="412"/>
      <c r="AX5" s="412"/>
      <c r="AY5" s="412"/>
      <c r="AZ5" s="412"/>
      <c r="BA5" s="412"/>
      <c r="BB5" s="412"/>
      <c r="BC5" s="412"/>
    </row>
    <row r="6" spans="2:55" s="2" customFormat="1" ht="30" customHeight="1">
      <c r="B6" s="874"/>
      <c r="C6" s="1" t="s">
        <v>2</v>
      </c>
      <c r="D6" s="412"/>
      <c r="E6" s="412"/>
      <c r="F6" s="412"/>
      <c r="G6" s="412"/>
      <c r="H6" s="412"/>
      <c r="I6" s="412"/>
      <c r="J6" s="412"/>
      <c r="K6" s="412"/>
      <c r="L6" s="412"/>
      <c r="M6" s="1212">
        <f>ejercicio</f>
        <v>2025</v>
      </c>
      <c r="N6" s="875"/>
      <c r="O6" s="412"/>
      <c r="P6" s="412"/>
      <c r="Q6" s="412"/>
      <c r="R6" s="412"/>
      <c r="S6" s="412"/>
      <c r="T6" s="412"/>
      <c r="U6" s="412"/>
      <c r="V6" s="412"/>
      <c r="W6" s="412"/>
      <c r="X6" s="412"/>
      <c r="Y6" s="412"/>
      <c r="Z6" s="412"/>
      <c r="AA6" s="412"/>
      <c r="AB6" s="412"/>
      <c r="AC6" s="412"/>
      <c r="AD6" s="412"/>
      <c r="AE6" s="412"/>
      <c r="AF6" s="412"/>
      <c r="AG6" s="412"/>
      <c r="AH6" s="412"/>
      <c r="AI6" s="412"/>
      <c r="AJ6" s="412"/>
      <c r="AK6" s="412"/>
      <c r="AL6" s="412"/>
      <c r="AM6" s="412"/>
      <c r="AN6" s="412"/>
      <c r="AO6" s="412"/>
      <c r="AP6" s="412"/>
      <c r="AQ6" s="412"/>
      <c r="AR6" s="412"/>
      <c r="AS6" s="412"/>
      <c r="AT6" s="412"/>
      <c r="AU6" s="412"/>
      <c r="AV6" s="412"/>
      <c r="AW6" s="412"/>
      <c r="AX6" s="412"/>
      <c r="AY6" s="412"/>
      <c r="AZ6" s="412"/>
      <c r="BA6" s="412"/>
      <c r="BB6" s="412"/>
      <c r="BC6" s="412"/>
    </row>
    <row r="7" spans="2:55" s="2" customFormat="1" ht="30" customHeight="1">
      <c r="B7" s="874"/>
      <c r="C7" s="1" t="s">
        <v>3</v>
      </c>
      <c r="D7" s="412"/>
      <c r="E7" s="412"/>
      <c r="F7" s="412"/>
      <c r="G7" s="412"/>
      <c r="H7" s="412"/>
      <c r="I7" s="412"/>
      <c r="J7" s="412"/>
      <c r="K7" s="876"/>
      <c r="L7" s="412"/>
      <c r="M7" s="1212"/>
      <c r="N7" s="875"/>
      <c r="O7" s="412"/>
      <c r="P7" s="412"/>
      <c r="Q7" s="412"/>
      <c r="R7" s="412"/>
      <c r="S7" s="412"/>
      <c r="T7" s="412"/>
      <c r="U7" s="412"/>
      <c r="V7" s="412"/>
      <c r="W7" s="412"/>
      <c r="X7" s="412"/>
      <c r="Y7" s="412"/>
      <c r="Z7" s="412"/>
      <c r="AA7" s="412"/>
      <c r="AB7" s="412"/>
      <c r="AC7" s="412"/>
      <c r="AD7" s="412"/>
      <c r="AE7" s="412"/>
      <c r="AF7" s="412"/>
      <c r="AG7" s="412"/>
      <c r="AH7" s="412"/>
      <c r="AI7" s="412"/>
      <c r="AJ7" s="412"/>
      <c r="AK7" s="412"/>
      <c r="AL7" s="412"/>
      <c r="AM7" s="412"/>
      <c r="AN7" s="412"/>
      <c r="AO7" s="412"/>
      <c r="AP7" s="412"/>
      <c r="AQ7" s="412"/>
      <c r="AR7" s="412"/>
      <c r="AS7" s="412"/>
      <c r="AT7" s="412"/>
      <c r="AU7" s="412"/>
      <c r="AV7" s="412"/>
      <c r="AW7" s="412"/>
      <c r="AX7" s="412"/>
      <c r="AY7" s="412"/>
      <c r="AZ7" s="412"/>
      <c r="BA7" s="412"/>
      <c r="BB7" s="412"/>
      <c r="BC7" s="412"/>
    </row>
    <row r="8" spans="2:55" s="2" customFormat="1" ht="30" customHeight="1">
      <c r="B8" s="874"/>
      <c r="C8" s="412"/>
      <c r="D8" s="412"/>
      <c r="E8" s="412"/>
      <c r="F8" s="412"/>
      <c r="G8" s="412"/>
      <c r="H8" s="412"/>
      <c r="I8" s="412"/>
      <c r="J8" s="412"/>
      <c r="K8" s="412"/>
      <c r="L8" s="412"/>
      <c r="M8" s="412"/>
      <c r="N8" s="875"/>
      <c r="O8" s="412"/>
      <c r="P8" s="412"/>
      <c r="Q8" s="412"/>
      <c r="R8" s="412"/>
      <c r="S8" s="412"/>
      <c r="T8" s="412"/>
      <c r="U8" s="412"/>
      <c r="V8" s="412"/>
      <c r="W8" s="412"/>
      <c r="X8" s="412"/>
      <c r="Y8" s="412"/>
      <c r="Z8" s="412"/>
      <c r="AA8" s="412"/>
      <c r="AB8" s="412"/>
      <c r="AC8" s="412"/>
      <c r="AD8" s="412"/>
      <c r="AE8" s="412"/>
      <c r="AF8" s="412"/>
      <c r="AG8" s="412"/>
      <c r="AH8" s="412"/>
      <c r="AI8" s="412"/>
      <c r="AJ8" s="412"/>
      <c r="AK8" s="412"/>
      <c r="AL8" s="412"/>
      <c r="AM8" s="412"/>
      <c r="AN8" s="412"/>
      <c r="AO8" s="412"/>
      <c r="AP8" s="412"/>
      <c r="AQ8" s="412"/>
      <c r="AR8" s="412"/>
      <c r="AS8" s="412"/>
      <c r="AT8" s="412"/>
      <c r="AU8" s="412"/>
      <c r="AV8" s="412"/>
      <c r="AW8" s="412"/>
      <c r="AX8" s="412"/>
      <c r="AY8" s="412"/>
      <c r="AZ8" s="412"/>
      <c r="BA8" s="412"/>
      <c r="BB8" s="412"/>
      <c r="BC8" s="412"/>
    </row>
    <row r="9" spans="2:55" s="2" customFormat="1" ht="30" customHeight="1">
      <c r="B9" s="874"/>
      <c r="C9" s="412"/>
      <c r="D9" s="412"/>
      <c r="E9" s="412"/>
      <c r="F9" s="412"/>
      <c r="G9" s="412"/>
      <c r="H9" s="412"/>
      <c r="I9" s="412"/>
      <c r="J9" s="412"/>
      <c r="K9" s="412"/>
      <c r="L9" s="412"/>
      <c r="M9" s="412"/>
      <c r="N9" s="875"/>
      <c r="O9" s="412"/>
      <c r="P9" s="412"/>
      <c r="Q9" s="412"/>
      <c r="R9" s="412"/>
      <c r="S9" s="412"/>
      <c r="T9" s="412"/>
      <c r="U9" s="412"/>
      <c r="V9" s="412"/>
      <c r="W9" s="412"/>
      <c r="X9" s="412"/>
      <c r="Y9" s="412"/>
      <c r="Z9" s="412"/>
      <c r="AA9" s="412"/>
      <c r="AB9" s="412"/>
      <c r="AC9" s="412"/>
      <c r="AD9" s="412"/>
      <c r="AE9" s="412"/>
      <c r="AF9" s="412"/>
      <c r="AG9" s="412"/>
      <c r="AH9" s="412"/>
      <c r="AI9" s="412"/>
      <c r="AJ9" s="412"/>
      <c r="AK9" s="412"/>
      <c r="AL9" s="412"/>
      <c r="AM9" s="412"/>
      <c r="AN9" s="412"/>
      <c r="AO9" s="412"/>
      <c r="AP9" s="412"/>
      <c r="AQ9" s="412"/>
      <c r="AR9" s="412"/>
      <c r="AS9" s="412"/>
      <c r="AT9" s="412"/>
      <c r="AU9" s="412"/>
      <c r="AV9" s="412"/>
      <c r="AW9" s="412"/>
      <c r="AX9" s="412"/>
      <c r="AY9" s="412"/>
      <c r="AZ9" s="412"/>
      <c r="BA9" s="412"/>
      <c r="BB9" s="412"/>
      <c r="BC9" s="412"/>
    </row>
    <row r="10" spans="2:55" s="2" customFormat="1" ht="6.95" customHeight="1">
      <c r="B10" s="874"/>
      <c r="C10" s="412"/>
      <c r="D10" s="412"/>
      <c r="E10" s="412"/>
      <c r="F10" s="412"/>
      <c r="G10" s="412"/>
      <c r="H10" s="412"/>
      <c r="I10" s="412"/>
      <c r="J10" s="412"/>
      <c r="K10" s="412"/>
      <c r="L10" s="412"/>
      <c r="M10" s="412"/>
      <c r="N10" s="875"/>
      <c r="O10" s="412"/>
      <c r="P10" s="412"/>
      <c r="Q10" s="412"/>
      <c r="R10" s="412"/>
      <c r="S10" s="412"/>
      <c r="T10" s="412"/>
      <c r="U10" s="412"/>
      <c r="V10" s="412"/>
      <c r="W10" s="412"/>
      <c r="X10" s="412"/>
      <c r="Y10" s="412"/>
      <c r="Z10" s="412"/>
      <c r="AA10" s="412"/>
      <c r="AB10" s="412"/>
      <c r="AC10" s="412"/>
      <c r="AD10" s="412"/>
      <c r="AE10" s="412"/>
      <c r="AF10" s="412"/>
      <c r="AG10" s="412"/>
      <c r="AH10" s="412"/>
      <c r="AI10" s="412"/>
      <c r="AJ10" s="412"/>
      <c r="AK10" s="412"/>
      <c r="AL10" s="412"/>
      <c r="AM10" s="412"/>
      <c r="AN10" s="412"/>
      <c r="AO10" s="412"/>
      <c r="AP10" s="412"/>
      <c r="AQ10" s="412"/>
      <c r="AR10" s="412"/>
      <c r="AS10" s="412"/>
      <c r="AT10" s="412"/>
      <c r="AU10" s="412"/>
      <c r="AV10" s="412"/>
      <c r="AW10" s="412"/>
      <c r="AX10" s="412"/>
      <c r="AY10" s="412"/>
      <c r="AZ10" s="412"/>
      <c r="BA10" s="412"/>
      <c r="BB10" s="412"/>
      <c r="BC10" s="412"/>
    </row>
    <row r="11" spans="2:55" ht="30" customHeight="1">
      <c r="B11" s="874"/>
      <c r="C11" s="4" t="s">
        <v>4</v>
      </c>
      <c r="D11" s="4"/>
      <c r="E11" s="4"/>
      <c r="F11" s="4"/>
      <c r="G11" s="4"/>
      <c r="H11" s="4"/>
      <c r="I11" s="4"/>
      <c r="J11" s="4"/>
      <c r="K11" s="4"/>
      <c r="L11" s="4"/>
      <c r="M11" s="4"/>
      <c r="N11" s="875"/>
      <c r="O11" s="412"/>
      <c r="P11" s="412"/>
      <c r="Q11" s="412"/>
      <c r="R11" s="412"/>
      <c r="S11" s="412"/>
      <c r="T11" s="412"/>
      <c r="U11" s="412"/>
      <c r="V11" s="412"/>
      <c r="W11" s="412"/>
      <c r="X11" s="412"/>
      <c r="Y11" s="412"/>
      <c r="AB11" s="412"/>
      <c r="AC11" s="412"/>
      <c r="AD11" s="412"/>
      <c r="AE11" s="412"/>
      <c r="AF11" s="412"/>
      <c r="AG11" s="412"/>
      <c r="AH11" s="412"/>
      <c r="AI11" s="412"/>
      <c r="AJ11" s="412"/>
      <c r="AK11" s="412"/>
      <c r="AL11" s="412"/>
      <c r="AM11" s="412"/>
      <c r="AN11" s="412"/>
      <c r="AO11" s="412"/>
      <c r="AP11" s="412"/>
      <c r="AQ11" s="412"/>
      <c r="AR11" s="412"/>
      <c r="AS11" s="412"/>
      <c r="AT11" s="412"/>
      <c r="AU11" s="412"/>
      <c r="AV11" s="412"/>
      <c r="AW11" s="412"/>
      <c r="AX11" s="412"/>
      <c r="AY11" s="412"/>
      <c r="AZ11" s="412"/>
      <c r="BA11" s="412"/>
      <c r="BB11" s="412"/>
      <c r="BC11" s="412"/>
    </row>
    <row r="12" spans="2:55" s="2" customFormat="1" ht="30" customHeight="1">
      <c r="B12" s="874"/>
      <c r="C12" s="412"/>
      <c r="D12" s="412"/>
      <c r="E12" s="412"/>
      <c r="F12" s="412"/>
      <c r="G12" s="412"/>
      <c r="H12" s="412"/>
      <c r="I12" s="412"/>
      <c r="J12" s="412"/>
      <c r="K12" s="412"/>
      <c r="L12" s="412"/>
      <c r="M12" s="412"/>
      <c r="N12" s="875"/>
      <c r="O12" s="412"/>
      <c r="P12" s="412"/>
      <c r="Q12" s="412"/>
      <c r="R12" s="412"/>
      <c r="S12" s="412"/>
      <c r="T12" s="412"/>
      <c r="U12" s="412"/>
      <c r="V12" s="412"/>
      <c r="W12" s="412"/>
      <c r="X12" s="412"/>
      <c r="Y12" s="412"/>
      <c r="Z12" s="412"/>
      <c r="AA12" s="412"/>
      <c r="AB12" s="412"/>
      <c r="AC12" s="412"/>
      <c r="AD12" s="412"/>
      <c r="AE12" s="412"/>
      <c r="AF12" s="412"/>
      <c r="AG12" s="412"/>
      <c r="AH12" s="412"/>
      <c r="AI12" s="412"/>
      <c r="AJ12" s="412"/>
      <c r="AK12" s="412"/>
      <c r="AL12" s="412"/>
      <c r="AM12" s="412"/>
      <c r="AN12" s="412"/>
      <c r="AO12" s="412"/>
      <c r="AP12" s="412"/>
      <c r="AQ12" s="412"/>
      <c r="AR12" s="412"/>
      <c r="AS12" s="412"/>
      <c r="AT12" s="412"/>
      <c r="AU12" s="412"/>
      <c r="AV12" s="412"/>
      <c r="AW12" s="412"/>
      <c r="AX12" s="412"/>
      <c r="AY12" s="412"/>
      <c r="AZ12" s="412"/>
      <c r="BA12" s="412"/>
      <c r="BB12" s="412"/>
      <c r="BC12" s="412"/>
    </row>
    <row r="13" spans="2:55" s="6" customFormat="1" ht="30" customHeight="1">
      <c r="B13" s="874"/>
      <c r="C13" s="183" t="s">
        <v>5</v>
      </c>
      <c r="D13" s="1213" t="s">
        <v>6</v>
      </c>
      <c r="E13" s="1214"/>
      <c r="F13" s="1214"/>
      <c r="G13" s="1214"/>
      <c r="H13" s="1214"/>
      <c r="I13" s="1214"/>
      <c r="J13" s="1214"/>
      <c r="K13" s="1214"/>
      <c r="L13" s="1214"/>
      <c r="M13" s="1215"/>
      <c r="N13" s="875"/>
      <c r="O13" s="412"/>
      <c r="P13" s="356" t="str">
        <f>VLOOKUP(Entidad,_GENERAL!$AN$13:$AQ$40,4,FALSE)</f>
        <v>32_</v>
      </c>
      <c r="Q13" s="412"/>
      <c r="R13" s="412"/>
      <c r="S13" s="412"/>
      <c r="T13" s="412"/>
      <c r="U13" s="412"/>
      <c r="V13" s="412"/>
      <c r="W13" s="412"/>
      <c r="X13" s="412"/>
      <c r="Y13" s="412"/>
      <c r="Z13" s="391"/>
      <c r="AA13" s="391"/>
      <c r="AB13" s="391"/>
      <c r="AC13" s="391"/>
      <c r="AD13" s="391"/>
      <c r="AE13" s="391"/>
      <c r="AF13" s="391"/>
      <c r="AG13" s="391"/>
      <c r="AH13" s="391"/>
      <c r="AI13" s="391"/>
      <c r="AJ13" s="391"/>
      <c r="AK13" s="391"/>
      <c r="AL13" s="391"/>
      <c r="AM13" s="391"/>
      <c r="AN13" s="848" t="s">
        <v>7</v>
      </c>
      <c r="AO13" s="848" t="s">
        <v>8</v>
      </c>
      <c r="AP13" s="848" t="s">
        <v>9</v>
      </c>
      <c r="AQ13" s="848" t="s">
        <v>10</v>
      </c>
      <c r="AR13" s="848" t="s">
        <v>11</v>
      </c>
      <c r="AS13" s="391"/>
      <c r="AT13" s="391"/>
      <c r="AU13" s="391"/>
      <c r="AV13" s="391"/>
      <c r="AW13" s="391"/>
      <c r="AX13" s="391"/>
      <c r="AY13" s="391"/>
      <c r="AZ13" s="391"/>
      <c r="BA13" s="391"/>
      <c r="BB13" s="391"/>
      <c r="BC13" s="391"/>
    </row>
    <row r="14" spans="2:55" s="6" customFormat="1" ht="30" customHeight="1">
      <c r="B14" s="874"/>
      <c r="C14" s="183" t="s">
        <v>12</v>
      </c>
      <c r="D14" s="1213" t="s">
        <v>13</v>
      </c>
      <c r="E14" s="1214"/>
      <c r="F14" s="1215"/>
      <c r="G14" s="412"/>
      <c r="H14" s="412"/>
      <c r="I14" s="412"/>
      <c r="J14" s="412"/>
      <c r="K14" s="412"/>
      <c r="L14" s="412"/>
      <c r="M14" s="412"/>
      <c r="N14" s="875"/>
      <c r="O14" s="391"/>
      <c r="P14" s="391"/>
      <c r="Q14" s="391"/>
      <c r="R14" s="391"/>
      <c r="S14" s="391"/>
      <c r="T14" s="391"/>
      <c r="U14" s="391"/>
      <c r="V14" s="391"/>
      <c r="W14" s="391"/>
      <c r="X14" s="391"/>
      <c r="Y14" s="391"/>
      <c r="Z14" s="391"/>
      <c r="AA14" s="391"/>
      <c r="AB14" s="391"/>
      <c r="AC14" s="846"/>
      <c r="AD14" s="846"/>
      <c r="AE14" s="846"/>
      <c r="AF14" s="846"/>
      <c r="AG14" s="846"/>
      <c r="AH14" s="846"/>
      <c r="AI14" s="846"/>
      <c r="AJ14" s="846"/>
      <c r="AK14" s="846"/>
      <c r="AL14" s="846"/>
      <c r="AM14" s="846"/>
      <c r="AN14" s="868" t="s">
        <v>14</v>
      </c>
      <c r="AO14" s="848" t="s">
        <v>15</v>
      </c>
      <c r="AP14" s="848" t="s">
        <v>16</v>
      </c>
      <c r="AQ14" s="848" t="s">
        <v>17</v>
      </c>
      <c r="AR14" s="848" t="s">
        <v>18</v>
      </c>
      <c r="AS14" s="391"/>
      <c r="AT14" s="391"/>
      <c r="AU14" s="391"/>
      <c r="AV14" s="391"/>
      <c r="AW14" s="391"/>
      <c r="AX14" s="391"/>
      <c r="AY14" s="391"/>
      <c r="AZ14" s="391"/>
      <c r="BA14" s="391"/>
      <c r="BB14" s="391"/>
      <c r="BC14" s="391"/>
    </row>
    <row r="15" spans="2:55" s="6" customFormat="1" ht="30" customHeight="1">
      <c r="B15" s="874"/>
      <c r="C15" s="183" t="s">
        <v>19</v>
      </c>
      <c r="D15" s="1217" t="str">
        <f t="array" aca="1" ref="D15" ca="1">INDIRECT( "_"&amp;LEFT(Codigo,3)&amp;"1")</f>
        <v>Entidad No Financiera</v>
      </c>
      <c r="E15" s="1218"/>
      <c r="F15" s="1219"/>
      <c r="G15" s="412"/>
      <c r="H15" s="412"/>
      <c r="I15" s="412"/>
      <c r="J15" s="412"/>
      <c r="K15" s="412"/>
      <c r="L15" s="412"/>
      <c r="M15" s="412"/>
      <c r="N15" s="875"/>
      <c r="O15" s="391"/>
      <c r="P15" s="391"/>
      <c r="Q15" s="391"/>
      <c r="R15" s="391"/>
      <c r="S15" s="391"/>
      <c r="T15" s="391"/>
      <c r="U15" s="391"/>
      <c r="V15" s="391"/>
      <c r="W15" s="391"/>
      <c r="X15" s="391"/>
      <c r="Y15" s="391"/>
      <c r="Z15" s="391"/>
      <c r="AA15" s="391"/>
      <c r="AB15" s="391"/>
      <c r="AC15" s="846"/>
      <c r="AD15" s="846"/>
      <c r="AE15" s="846"/>
      <c r="AF15" s="846"/>
      <c r="AG15" s="846"/>
      <c r="AH15" s="846"/>
      <c r="AI15" s="846"/>
      <c r="AJ15" s="846"/>
      <c r="AK15" s="846"/>
      <c r="AL15" s="846"/>
      <c r="AM15" s="846"/>
      <c r="AN15" s="848" t="s">
        <v>20</v>
      </c>
      <c r="AO15" s="848" t="s">
        <v>21</v>
      </c>
      <c r="AP15" s="848" t="s">
        <v>16</v>
      </c>
      <c r="AQ15" s="848" t="s">
        <v>22</v>
      </c>
      <c r="AR15" s="848" t="s">
        <v>13</v>
      </c>
      <c r="AS15" s="391"/>
      <c r="AT15" s="391"/>
      <c r="AU15" s="391"/>
      <c r="AV15" s="391"/>
      <c r="AW15" s="391"/>
      <c r="AX15" s="391"/>
      <c r="AY15" s="391"/>
      <c r="AZ15" s="391"/>
      <c r="BA15" s="391"/>
      <c r="BB15" s="391"/>
      <c r="BC15" s="391"/>
    </row>
    <row r="16" spans="2:55" s="6" customFormat="1" ht="30" customHeight="1">
      <c r="B16" s="874"/>
      <c r="C16" s="183" t="s">
        <v>23</v>
      </c>
      <c r="D16" s="1217" t="str">
        <f t="array" aca="1" ref="D16" ca="1">INDIRECT("_"&amp;LEFT(Codigo,3)&amp;"2")</f>
        <v>Minoritaria</v>
      </c>
      <c r="E16" s="1218"/>
      <c r="F16" s="1219"/>
      <c r="G16" s="412"/>
      <c r="H16" s="412"/>
      <c r="I16" s="412"/>
      <c r="J16" s="412"/>
      <c r="K16" s="412"/>
      <c r="L16" s="412"/>
      <c r="M16" s="412"/>
      <c r="N16" s="875"/>
      <c r="O16" s="391"/>
      <c r="P16" s="391"/>
      <c r="Q16" s="391"/>
      <c r="R16" s="391"/>
      <c r="S16" s="391"/>
      <c r="T16" s="391"/>
      <c r="U16" s="391"/>
      <c r="V16" s="391"/>
      <c r="W16" s="391"/>
      <c r="X16" s="391"/>
      <c r="Y16" s="391"/>
      <c r="Z16" s="391"/>
      <c r="AA16" s="391"/>
      <c r="AB16" s="391"/>
      <c r="AC16" s="846"/>
      <c r="AD16" s="846"/>
      <c r="AE16" s="846"/>
      <c r="AF16" s="846"/>
      <c r="AG16" s="846"/>
      <c r="AH16" s="846"/>
      <c r="AI16" s="846"/>
      <c r="AJ16" s="846"/>
      <c r="AK16" s="846"/>
      <c r="AL16" s="846"/>
      <c r="AM16" s="846"/>
      <c r="AN16" s="848" t="s">
        <v>24</v>
      </c>
      <c r="AO16" s="848" t="s">
        <v>21</v>
      </c>
      <c r="AP16" s="848" t="s">
        <v>16</v>
      </c>
      <c r="AQ16" s="848" t="s">
        <v>25</v>
      </c>
      <c r="AR16" s="391"/>
      <c r="AS16" s="391"/>
      <c r="AT16" s="391"/>
      <c r="AU16" s="391"/>
      <c r="AV16" s="391"/>
      <c r="AW16" s="391"/>
      <c r="AX16" s="391"/>
      <c r="AY16" s="391"/>
      <c r="AZ16" s="391"/>
      <c r="BA16" s="391"/>
      <c r="BB16" s="391"/>
      <c r="BC16" s="391"/>
    </row>
    <row r="17" spans="2:54" s="2" customFormat="1" ht="30" customHeight="1">
      <c r="B17" s="874"/>
      <c r="C17" s="183" t="s">
        <v>26</v>
      </c>
      <c r="D17" s="626">
        <v>2025</v>
      </c>
      <c r="E17" s="412"/>
      <c r="F17" s="412"/>
      <c r="G17" s="412"/>
      <c r="H17" s="412"/>
      <c r="I17" s="412"/>
      <c r="J17" s="412"/>
      <c r="K17" s="412"/>
      <c r="L17" s="412"/>
      <c r="M17" s="412"/>
      <c r="N17" s="875"/>
      <c r="O17" s="412"/>
      <c r="P17" s="412"/>
      <c r="Q17" s="412"/>
      <c r="R17" s="412"/>
      <c r="S17" s="412"/>
      <c r="T17" s="412"/>
      <c r="U17" s="412"/>
      <c r="V17" s="412"/>
      <c r="W17" s="412"/>
      <c r="X17" s="412"/>
      <c r="Y17" s="412"/>
      <c r="Z17" s="412"/>
      <c r="AA17" s="412"/>
      <c r="AB17" s="412"/>
      <c r="AC17" s="846"/>
      <c r="AD17" s="846"/>
      <c r="AE17" s="846"/>
      <c r="AF17" s="846"/>
      <c r="AG17" s="846"/>
      <c r="AH17" s="846"/>
      <c r="AI17" s="846"/>
      <c r="AJ17" s="846"/>
      <c r="AK17" s="846"/>
      <c r="AL17" s="846"/>
      <c r="AM17" s="846"/>
      <c r="AN17" s="848" t="s">
        <v>27</v>
      </c>
      <c r="AO17" s="848" t="s">
        <v>21</v>
      </c>
      <c r="AP17" s="848" t="s">
        <v>16</v>
      </c>
      <c r="AQ17" s="848" t="s">
        <v>28</v>
      </c>
      <c r="AR17" s="412"/>
      <c r="AS17" s="412"/>
      <c r="AT17" s="412"/>
      <c r="AU17" s="412"/>
      <c r="AV17" s="412"/>
      <c r="AW17" s="412"/>
      <c r="AX17" s="412"/>
      <c r="AY17" s="412"/>
      <c r="AZ17" s="412"/>
      <c r="BA17" s="412"/>
      <c r="BB17" s="412"/>
    </row>
    <row r="18" spans="2:54" s="2" customFormat="1" ht="30" customHeight="1">
      <c r="B18" s="874"/>
      <c r="C18" s="1"/>
      <c r="D18" s="1216"/>
      <c r="E18" s="1216"/>
      <c r="F18" s="1216"/>
      <c r="G18" s="1216"/>
      <c r="H18" s="1216"/>
      <c r="I18" s="1216"/>
      <c r="J18" s="1216"/>
      <c r="K18" s="1216"/>
      <c r="L18" s="1216"/>
      <c r="M18" s="1216"/>
      <c r="N18" s="875"/>
      <c r="O18" s="412"/>
      <c r="P18" s="412"/>
      <c r="Q18" s="412"/>
      <c r="R18" s="412"/>
      <c r="S18" s="412"/>
      <c r="T18" s="412"/>
      <c r="U18" s="412"/>
      <c r="V18" s="412"/>
      <c r="W18" s="412"/>
      <c r="X18" s="412"/>
      <c r="Y18" s="412"/>
      <c r="Z18" s="412"/>
      <c r="AA18" s="412"/>
      <c r="AB18" s="412"/>
      <c r="AC18" s="846"/>
      <c r="AD18" s="846"/>
      <c r="AE18" s="846"/>
      <c r="AF18" s="846"/>
      <c r="AG18" s="846"/>
      <c r="AH18" s="846"/>
      <c r="AI18" s="846"/>
      <c r="AJ18" s="846"/>
      <c r="AK18" s="846"/>
      <c r="AL18" s="846"/>
      <c r="AM18" s="846"/>
      <c r="AN18" s="848" t="s">
        <v>29</v>
      </c>
      <c r="AO18" s="848" t="s">
        <v>21</v>
      </c>
      <c r="AP18" s="848" t="s">
        <v>16</v>
      </c>
      <c r="AQ18" s="848" t="s">
        <v>30</v>
      </c>
      <c r="AR18" s="412"/>
      <c r="AS18" s="412"/>
      <c r="AT18" s="412"/>
      <c r="AU18" s="412"/>
      <c r="AV18" s="412"/>
      <c r="AW18" s="412"/>
      <c r="AX18" s="412"/>
      <c r="AY18" s="412"/>
      <c r="AZ18" s="412"/>
      <c r="BA18" s="412"/>
      <c r="BB18" s="412"/>
    </row>
    <row r="19" spans="2:54" s="2" customFormat="1" ht="30" customHeight="1">
      <c r="B19" s="874"/>
      <c r="C19" s="184" t="s">
        <v>31</v>
      </c>
      <c r="D19" s="878"/>
      <c r="E19" s="878"/>
      <c r="F19" s="878"/>
      <c r="G19" s="878"/>
      <c r="H19" s="878"/>
      <c r="I19" s="878"/>
      <c r="J19" s="878"/>
      <c r="K19" s="878"/>
      <c r="L19" s="878"/>
      <c r="M19" s="878"/>
      <c r="N19" s="875"/>
      <c r="O19" s="412"/>
      <c r="P19" s="412"/>
      <c r="Q19" s="412"/>
      <c r="R19" s="412"/>
      <c r="S19" s="412"/>
      <c r="T19" s="412"/>
      <c r="U19" s="412"/>
      <c r="V19" s="412"/>
      <c r="W19" s="412"/>
      <c r="X19" s="412"/>
      <c r="Y19" s="412"/>
      <c r="Z19" s="412"/>
      <c r="AA19" s="412"/>
      <c r="AB19" s="412"/>
      <c r="AC19" s="846"/>
      <c r="AD19" s="846"/>
      <c r="AE19" s="846"/>
      <c r="AF19" s="846"/>
      <c r="AG19" s="846"/>
      <c r="AH19" s="846"/>
      <c r="AI19" s="846"/>
      <c r="AJ19" s="846"/>
      <c r="AK19" s="846"/>
      <c r="AL19" s="846"/>
      <c r="AM19" s="846"/>
      <c r="AN19" s="848" t="s">
        <v>32</v>
      </c>
      <c r="AO19" s="848" t="s">
        <v>21</v>
      </c>
      <c r="AP19" s="848" t="s">
        <v>16</v>
      </c>
      <c r="AQ19" s="848" t="s">
        <v>33</v>
      </c>
      <c r="AR19" s="412"/>
      <c r="AS19" s="412"/>
      <c r="AT19" s="412"/>
      <c r="AU19" s="412"/>
      <c r="AV19" s="412"/>
      <c r="AW19" s="412"/>
      <c r="AX19" s="412"/>
      <c r="AY19" s="412"/>
      <c r="AZ19" s="412"/>
      <c r="BA19" s="412"/>
      <c r="BB19" s="412"/>
    </row>
    <row r="20" spans="2:54" s="2" customFormat="1" ht="9" customHeight="1">
      <c r="B20" s="874"/>
      <c r="C20" s="1"/>
      <c r="D20" s="877"/>
      <c r="E20" s="877"/>
      <c r="F20" s="877"/>
      <c r="G20" s="877"/>
      <c r="H20" s="877"/>
      <c r="I20" s="877"/>
      <c r="J20" s="877"/>
      <c r="K20" s="877"/>
      <c r="L20" s="877"/>
      <c r="M20" s="877"/>
      <c r="N20" s="875"/>
      <c r="O20" s="412"/>
      <c r="P20" s="412"/>
      <c r="Q20" s="412"/>
      <c r="R20" s="412"/>
      <c r="S20" s="412"/>
      <c r="T20" s="412"/>
      <c r="U20" s="412"/>
      <c r="V20" s="412"/>
      <c r="W20" s="412"/>
      <c r="X20" s="412"/>
      <c r="Y20" s="412"/>
      <c r="Z20" s="412"/>
      <c r="AA20" s="412"/>
      <c r="AB20" s="412"/>
      <c r="AC20" s="846"/>
      <c r="AD20" s="846"/>
      <c r="AE20" s="846"/>
      <c r="AF20" s="846"/>
      <c r="AG20" s="846"/>
      <c r="AH20" s="846"/>
      <c r="AI20" s="846"/>
      <c r="AJ20" s="846"/>
      <c r="AK20" s="846"/>
      <c r="AL20" s="846"/>
      <c r="AM20" s="846"/>
      <c r="AN20" s="848" t="s">
        <v>34</v>
      </c>
      <c r="AO20" s="848" t="s">
        <v>21</v>
      </c>
      <c r="AP20" s="848" t="s">
        <v>35</v>
      </c>
      <c r="AQ20" s="848" t="s">
        <v>36</v>
      </c>
      <c r="AR20" s="412"/>
      <c r="AS20" s="412"/>
      <c r="AT20" s="412"/>
      <c r="AU20" s="412"/>
      <c r="AV20" s="412"/>
      <c r="AW20" s="412"/>
      <c r="AX20" s="412"/>
      <c r="AY20" s="412"/>
      <c r="AZ20" s="412"/>
      <c r="BA20" s="412"/>
      <c r="BB20" s="412"/>
    </row>
    <row r="21" spans="2:54" s="6" customFormat="1" ht="24.95" customHeight="1">
      <c r="B21" s="392"/>
      <c r="C21" s="391"/>
      <c r="D21" s="706" t="s">
        <v>37</v>
      </c>
      <c r="E21" s="706"/>
      <c r="F21" s="706"/>
      <c r="G21" s="706"/>
      <c r="H21" s="706"/>
      <c r="I21" s="391"/>
      <c r="J21" s="391"/>
      <c r="K21" s="391"/>
      <c r="L21" s="391"/>
      <c r="M21" s="391"/>
      <c r="N21" s="395"/>
      <c r="O21" s="391"/>
      <c r="P21" s="391"/>
      <c r="Q21" s="391"/>
      <c r="R21" s="391"/>
      <c r="S21" s="391"/>
      <c r="T21" s="391"/>
      <c r="U21" s="391"/>
      <c r="V21" s="391"/>
      <c r="W21" s="391"/>
      <c r="X21" s="391"/>
      <c r="Y21" s="391"/>
      <c r="Z21" s="391"/>
      <c r="AA21" s="391"/>
      <c r="AB21" s="391"/>
      <c r="AC21" s="846"/>
      <c r="AD21" s="846"/>
      <c r="AE21" s="846"/>
      <c r="AF21" s="846"/>
      <c r="AG21" s="846"/>
      <c r="AH21" s="846"/>
      <c r="AI21" s="846"/>
      <c r="AJ21" s="846"/>
      <c r="AK21" s="846"/>
      <c r="AL21" s="846"/>
      <c r="AM21" s="846"/>
      <c r="AN21" s="848" t="s">
        <v>38</v>
      </c>
      <c r="AO21" s="848" t="s">
        <v>21</v>
      </c>
      <c r="AP21" s="848" t="s">
        <v>16</v>
      </c>
      <c r="AQ21" s="848" t="s">
        <v>39</v>
      </c>
      <c r="AR21" s="391"/>
      <c r="AS21" s="391"/>
      <c r="AT21" s="391"/>
      <c r="AU21" s="391"/>
      <c r="AV21" s="391"/>
      <c r="AW21" s="391"/>
      <c r="AX21" s="391"/>
      <c r="AY21" s="391"/>
      <c r="AZ21" s="391"/>
      <c r="BA21" s="391"/>
      <c r="BB21" s="391"/>
    </row>
    <row r="22" spans="2:54" s="6" customFormat="1" ht="24.95" customHeight="1">
      <c r="B22" s="392"/>
      <c r="C22" s="391"/>
      <c r="D22" s="706" t="s">
        <v>40</v>
      </c>
      <c r="E22" s="706"/>
      <c r="F22" s="706"/>
      <c r="G22" s="706"/>
      <c r="H22" s="706"/>
      <c r="I22" s="391"/>
      <c r="J22" s="391"/>
      <c r="K22" s="391"/>
      <c r="L22" s="391"/>
      <c r="M22" s="391"/>
      <c r="N22" s="395"/>
      <c r="O22" s="391"/>
      <c r="P22" s="391"/>
      <c r="Q22" s="391"/>
      <c r="R22" s="391"/>
      <c r="S22" s="391"/>
      <c r="T22" s="391"/>
      <c r="U22" s="391"/>
      <c r="V22" s="391"/>
      <c r="W22" s="391"/>
      <c r="X22" s="391"/>
      <c r="Y22" s="391"/>
      <c r="Z22" s="391"/>
      <c r="AA22" s="391"/>
      <c r="AB22" s="391"/>
      <c r="AC22" s="846"/>
      <c r="AD22" s="846"/>
      <c r="AE22" s="846"/>
      <c r="AF22" s="846"/>
      <c r="AG22" s="846"/>
      <c r="AH22" s="846"/>
      <c r="AI22" s="846"/>
      <c r="AJ22" s="846"/>
      <c r="AK22" s="846"/>
      <c r="AL22" s="846"/>
      <c r="AM22" s="846"/>
      <c r="AN22" s="848" t="s">
        <v>41</v>
      </c>
      <c r="AO22" s="848" t="s">
        <v>15</v>
      </c>
      <c r="AP22" s="848" t="s">
        <v>16</v>
      </c>
      <c r="AQ22" s="848" t="s">
        <v>42</v>
      </c>
      <c r="AR22" s="391"/>
      <c r="AS22" s="391"/>
      <c r="AT22" s="391"/>
      <c r="AU22" s="391"/>
      <c r="AV22" s="391"/>
      <c r="AW22" s="391"/>
      <c r="AX22" s="391"/>
      <c r="AY22" s="391"/>
      <c r="AZ22" s="391"/>
      <c r="BA22" s="391"/>
      <c r="BB22" s="391"/>
    </row>
    <row r="23" spans="2:54" s="6" customFormat="1" ht="24.95" customHeight="1">
      <c r="B23" s="392"/>
      <c r="C23" s="391"/>
      <c r="D23" s="706" t="s">
        <v>43</v>
      </c>
      <c r="E23" s="706"/>
      <c r="F23" s="706"/>
      <c r="G23" s="706"/>
      <c r="H23" s="706"/>
      <c r="I23" s="391"/>
      <c r="J23" s="391"/>
      <c r="K23" s="391"/>
      <c r="L23" s="391"/>
      <c r="M23" s="391"/>
      <c r="N23" s="395"/>
      <c r="O23" s="391"/>
      <c r="P23" s="391"/>
      <c r="Q23" s="391"/>
      <c r="R23" s="391"/>
      <c r="S23" s="391"/>
      <c r="T23" s="391"/>
      <c r="U23" s="391"/>
      <c r="V23" s="391"/>
      <c r="W23" s="391"/>
      <c r="X23" s="391"/>
      <c r="Y23" s="391"/>
      <c r="Z23" s="391"/>
      <c r="AA23" s="391"/>
      <c r="AB23" s="391"/>
      <c r="AC23" s="846"/>
      <c r="AD23" s="846"/>
      <c r="AE23" s="846"/>
      <c r="AF23" s="846"/>
      <c r="AG23" s="846"/>
      <c r="AH23" s="846"/>
      <c r="AI23" s="846"/>
      <c r="AJ23" s="846"/>
      <c r="AK23" s="846"/>
      <c r="AL23" s="846"/>
      <c r="AM23" s="846"/>
      <c r="AN23" s="848" t="s">
        <v>44</v>
      </c>
      <c r="AO23" s="848" t="s">
        <v>15</v>
      </c>
      <c r="AP23" s="848" t="s">
        <v>16</v>
      </c>
      <c r="AQ23" s="848" t="s">
        <v>45</v>
      </c>
      <c r="AR23" s="391"/>
      <c r="AS23" s="391"/>
      <c r="AT23" s="391"/>
      <c r="AU23" s="391"/>
      <c r="AV23" s="391"/>
      <c r="AW23" s="391"/>
      <c r="AX23" s="391"/>
      <c r="AY23" s="391"/>
      <c r="AZ23" s="391"/>
      <c r="BA23" s="391"/>
      <c r="BB23" s="391"/>
    </row>
    <row r="24" spans="2:54" s="6" customFormat="1" ht="24.95" customHeight="1">
      <c r="B24" s="392"/>
      <c r="C24" s="391"/>
      <c r="D24" s="706" t="s">
        <v>46</v>
      </c>
      <c r="E24" s="706"/>
      <c r="F24" s="706"/>
      <c r="G24" s="706"/>
      <c r="H24" s="706"/>
      <c r="I24" s="391"/>
      <c r="J24" s="391"/>
      <c r="K24" s="391"/>
      <c r="L24" s="391"/>
      <c r="M24" s="391"/>
      <c r="N24" s="395"/>
      <c r="O24" s="391"/>
      <c r="P24" s="391"/>
      <c r="Q24" s="391"/>
      <c r="R24" s="391"/>
      <c r="S24" s="391"/>
      <c r="T24" s="391"/>
      <c r="U24" s="391"/>
      <c r="V24" s="391"/>
      <c r="W24" s="391"/>
      <c r="X24" s="391"/>
      <c r="Y24" s="391"/>
      <c r="Z24" s="391"/>
      <c r="AA24" s="391"/>
      <c r="AB24" s="391"/>
      <c r="AC24" s="846"/>
      <c r="AD24" s="846"/>
      <c r="AE24" s="846"/>
      <c r="AF24" s="846"/>
      <c r="AG24" s="846"/>
      <c r="AH24" s="846"/>
      <c r="AI24" s="846"/>
      <c r="AJ24" s="846"/>
      <c r="AK24" s="846"/>
      <c r="AL24" s="846"/>
      <c r="AM24" s="846"/>
      <c r="AN24" s="848" t="s">
        <v>47</v>
      </c>
      <c r="AO24" s="848" t="s">
        <v>15</v>
      </c>
      <c r="AP24" s="848" t="s">
        <v>16</v>
      </c>
      <c r="AQ24" s="848" t="s">
        <v>48</v>
      </c>
      <c r="AR24" s="391"/>
      <c r="AS24" s="391"/>
      <c r="AT24" s="391"/>
      <c r="AU24" s="391"/>
      <c r="AV24" s="391"/>
      <c r="AW24" s="391"/>
      <c r="AX24" s="391"/>
      <c r="AY24" s="391"/>
      <c r="AZ24" s="391"/>
      <c r="BA24" s="391"/>
      <c r="BB24" s="391"/>
    </row>
    <row r="25" spans="2:54" s="6" customFormat="1" ht="24.95" customHeight="1">
      <c r="B25" s="392"/>
      <c r="C25" s="391"/>
      <c r="D25" s="706" t="s">
        <v>49</v>
      </c>
      <c r="E25" s="706"/>
      <c r="F25" s="706"/>
      <c r="G25" s="706"/>
      <c r="H25" s="706"/>
      <c r="I25" s="391"/>
      <c r="J25" s="391"/>
      <c r="K25" s="391"/>
      <c r="L25" s="391"/>
      <c r="M25" s="391"/>
      <c r="N25" s="395"/>
      <c r="O25" s="391"/>
      <c r="P25" s="391"/>
      <c r="Q25" s="391"/>
      <c r="R25" s="391"/>
      <c r="S25" s="391"/>
      <c r="T25" s="391"/>
      <c r="U25" s="391"/>
      <c r="V25" s="391"/>
      <c r="W25" s="391"/>
      <c r="X25" s="391"/>
      <c r="Y25" s="391"/>
      <c r="Z25" s="391"/>
      <c r="AA25" s="391"/>
      <c r="AB25" s="391"/>
      <c r="AC25" s="846"/>
      <c r="AD25" s="846"/>
      <c r="AE25" s="846"/>
      <c r="AF25" s="846"/>
      <c r="AG25" s="846"/>
      <c r="AH25" s="846"/>
      <c r="AI25" s="846"/>
      <c r="AJ25" s="846"/>
      <c r="AK25" s="846"/>
      <c r="AL25" s="846"/>
      <c r="AM25" s="846"/>
      <c r="AN25" s="848" t="s">
        <v>50</v>
      </c>
      <c r="AO25" s="848" t="s">
        <v>15</v>
      </c>
      <c r="AP25" s="848" t="s">
        <v>16</v>
      </c>
      <c r="AQ25" s="848" t="s">
        <v>51</v>
      </c>
      <c r="AR25" s="391"/>
      <c r="AS25" s="391"/>
      <c r="AT25" s="391"/>
      <c r="AU25" s="391"/>
      <c r="AV25" s="391"/>
      <c r="AW25" s="391"/>
      <c r="AX25" s="391"/>
      <c r="AY25" s="391"/>
      <c r="AZ25" s="391"/>
      <c r="BA25" s="391"/>
      <c r="BB25" s="391"/>
    </row>
    <row r="26" spans="2:54" s="6" customFormat="1" ht="24.95" customHeight="1">
      <c r="B26" s="392"/>
      <c r="C26" s="391"/>
      <c r="D26" s="706" t="s">
        <v>52</v>
      </c>
      <c r="E26" s="706"/>
      <c r="F26" s="706"/>
      <c r="G26" s="706"/>
      <c r="H26" s="706"/>
      <c r="I26" s="391"/>
      <c r="J26" s="391"/>
      <c r="K26" s="391"/>
      <c r="L26" s="391"/>
      <c r="M26" s="391"/>
      <c r="N26" s="395"/>
      <c r="O26" s="391"/>
      <c r="P26" s="391"/>
      <c r="Q26" s="391"/>
      <c r="R26" s="391"/>
      <c r="S26" s="391"/>
      <c r="T26" s="391"/>
      <c r="U26" s="391"/>
      <c r="V26" s="391"/>
      <c r="W26" s="391"/>
      <c r="X26" s="391"/>
      <c r="Y26" s="391"/>
      <c r="Z26" s="391"/>
      <c r="AA26" s="391"/>
      <c r="AB26" s="391"/>
      <c r="AC26" s="846"/>
      <c r="AD26" s="846"/>
      <c r="AE26" s="846"/>
      <c r="AF26" s="846"/>
      <c r="AG26" s="846"/>
      <c r="AH26" s="846"/>
      <c r="AI26" s="846"/>
      <c r="AJ26" s="846"/>
      <c r="AK26" s="846"/>
      <c r="AL26" s="846"/>
      <c r="AM26" s="846"/>
      <c r="AN26" s="848" t="s">
        <v>53</v>
      </c>
      <c r="AO26" s="848" t="s">
        <v>21</v>
      </c>
      <c r="AP26" s="848" t="s">
        <v>35</v>
      </c>
      <c r="AQ26" s="848" t="s">
        <v>54</v>
      </c>
      <c r="AR26" s="391"/>
      <c r="AS26" s="391"/>
      <c r="AT26" s="391"/>
      <c r="AU26" s="391"/>
      <c r="AV26" s="391"/>
      <c r="AW26" s="391"/>
      <c r="AX26" s="391"/>
      <c r="AY26" s="391"/>
      <c r="AZ26" s="391"/>
      <c r="BA26" s="391"/>
      <c r="BB26" s="391"/>
    </row>
    <row r="27" spans="2:54" s="6" customFormat="1" ht="24.95" customHeight="1">
      <c r="B27" s="392"/>
      <c r="C27" s="391"/>
      <c r="D27" s="706" t="s">
        <v>55</v>
      </c>
      <c r="E27" s="706"/>
      <c r="F27" s="706"/>
      <c r="G27" s="706"/>
      <c r="H27" s="706"/>
      <c r="I27" s="391"/>
      <c r="J27" s="391"/>
      <c r="K27" s="391"/>
      <c r="L27" s="391"/>
      <c r="M27" s="391"/>
      <c r="N27" s="395"/>
      <c r="O27" s="391"/>
      <c r="P27" s="391"/>
      <c r="Q27" s="391"/>
      <c r="R27" s="391"/>
      <c r="S27" s="391"/>
      <c r="T27" s="391"/>
      <c r="U27" s="391"/>
      <c r="V27" s="391"/>
      <c r="W27" s="391"/>
      <c r="X27" s="391"/>
      <c r="Y27" s="391"/>
      <c r="Z27" s="391"/>
      <c r="AA27" s="391"/>
      <c r="AB27" s="391"/>
      <c r="AC27" s="846"/>
      <c r="AD27" s="846"/>
      <c r="AE27" s="846"/>
      <c r="AF27" s="846"/>
      <c r="AG27" s="846"/>
      <c r="AH27" s="846"/>
      <c r="AI27" s="846"/>
      <c r="AJ27" s="846"/>
      <c r="AK27" s="846"/>
      <c r="AL27" s="846"/>
      <c r="AM27" s="846"/>
      <c r="AN27" s="848" t="s">
        <v>56</v>
      </c>
      <c r="AO27" s="848" t="s">
        <v>21</v>
      </c>
      <c r="AP27" s="848" t="s">
        <v>35</v>
      </c>
      <c r="AQ27" s="848" t="s">
        <v>57</v>
      </c>
      <c r="AR27" s="391"/>
      <c r="AS27" s="391"/>
      <c r="AT27" s="391"/>
      <c r="AU27" s="391"/>
      <c r="AV27" s="391"/>
      <c r="AW27" s="391"/>
      <c r="AX27" s="391"/>
      <c r="AY27" s="391"/>
      <c r="AZ27" s="391"/>
      <c r="BA27" s="391"/>
      <c r="BB27" s="391"/>
    </row>
    <row r="28" spans="2:54" s="6" customFormat="1" ht="24.95" customHeight="1">
      <c r="B28" s="392"/>
      <c r="C28" s="391"/>
      <c r="D28" s="706" t="s">
        <v>58</v>
      </c>
      <c r="E28" s="706"/>
      <c r="F28" s="706"/>
      <c r="G28" s="706"/>
      <c r="H28" s="706"/>
      <c r="I28" s="391"/>
      <c r="J28" s="391"/>
      <c r="K28" s="391"/>
      <c r="L28" s="391"/>
      <c r="M28" s="391"/>
      <c r="N28" s="395"/>
      <c r="O28" s="391"/>
      <c r="P28" s="391"/>
      <c r="Q28" s="391"/>
      <c r="R28" s="391"/>
      <c r="S28" s="391"/>
      <c r="T28" s="391"/>
      <c r="U28" s="391"/>
      <c r="V28" s="391"/>
      <c r="W28" s="391"/>
      <c r="X28" s="391"/>
      <c r="Y28" s="391"/>
      <c r="Z28" s="391"/>
      <c r="AA28" s="391"/>
      <c r="AB28" s="391"/>
      <c r="AC28" s="846"/>
      <c r="AD28" s="846"/>
      <c r="AE28" s="846"/>
      <c r="AF28" s="846"/>
      <c r="AG28" s="846"/>
      <c r="AH28" s="846"/>
      <c r="AI28" s="846"/>
      <c r="AJ28" s="846"/>
      <c r="AK28" s="846"/>
      <c r="AL28" s="846"/>
      <c r="AM28" s="846"/>
      <c r="AN28" s="848" t="s">
        <v>59</v>
      </c>
      <c r="AO28" s="848" t="s">
        <v>15</v>
      </c>
      <c r="AP28" s="848" t="s">
        <v>35</v>
      </c>
      <c r="AQ28" s="848" t="s">
        <v>60</v>
      </c>
      <c r="AR28" s="391"/>
      <c r="AS28" s="391"/>
      <c r="AT28" s="391"/>
      <c r="AU28" s="391"/>
      <c r="AV28" s="391"/>
      <c r="AW28" s="391"/>
      <c r="AX28" s="391"/>
      <c r="AY28" s="391"/>
      <c r="AZ28" s="391"/>
      <c r="BA28" s="391"/>
      <c r="BB28" s="391"/>
    </row>
    <row r="29" spans="2:54" s="6" customFormat="1" ht="24.95" customHeight="1">
      <c r="B29" s="392"/>
      <c r="C29" s="391"/>
      <c r="D29" s="706" t="s">
        <v>61</v>
      </c>
      <c r="E29" s="706"/>
      <c r="F29" s="706"/>
      <c r="G29" s="706"/>
      <c r="H29" s="706"/>
      <c r="I29" s="391"/>
      <c r="J29" s="391"/>
      <c r="K29" s="391"/>
      <c r="L29" s="391"/>
      <c r="M29" s="391"/>
      <c r="N29" s="395"/>
      <c r="O29" s="391"/>
      <c r="P29" s="391"/>
      <c r="Q29" s="391"/>
      <c r="R29" s="391"/>
      <c r="S29" s="391"/>
      <c r="T29" s="391"/>
      <c r="U29" s="391"/>
      <c r="V29" s="391"/>
      <c r="W29" s="391"/>
      <c r="X29" s="391"/>
      <c r="Y29" s="391"/>
      <c r="Z29" s="391"/>
      <c r="AA29" s="391"/>
      <c r="AB29" s="391"/>
      <c r="AC29" s="846"/>
      <c r="AD29" s="846"/>
      <c r="AE29" s="846"/>
      <c r="AF29" s="846"/>
      <c r="AG29" s="846"/>
      <c r="AH29" s="846"/>
      <c r="AI29" s="846"/>
      <c r="AJ29" s="846"/>
      <c r="AK29" s="846"/>
      <c r="AL29" s="846"/>
      <c r="AM29" s="846"/>
      <c r="AN29" s="848" t="s">
        <v>62</v>
      </c>
      <c r="AO29" s="848" t="s">
        <v>21</v>
      </c>
      <c r="AP29" s="848" t="s">
        <v>35</v>
      </c>
      <c r="AQ29" s="848" t="s">
        <v>63</v>
      </c>
      <c r="AR29" s="391"/>
      <c r="AS29" s="391"/>
      <c r="AT29" s="391"/>
      <c r="AU29" s="391"/>
      <c r="AV29" s="391"/>
      <c r="AW29" s="391"/>
      <c r="AX29" s="391"/>
      <c r="AY29" s="391"/>
      <c r="AZ29" s="391"/>
      <c r="BA29" s="391"/>
      <c r="BB29" s="391"/>
    </row>
    <row r="30" spans="2:54" s="6" customFormat="1" ht="24.95" customHeight="1">
      <c r="B30" s="392"/>
      <c r="C30" s="391"/>
      <c r="D30" s="706" t="s">
        <v>64</v>
      </c>
      <c r="E30" s="706"/>
      <c r="F30" s="706"/>
      <c r="G30" s="706"/>
      <c r="H30" s="706"/>
      <c r="I30" s="391"/>
      <c r="J30" s="391"/>
      <c r="K30" s="391"/>
      <c r="L30" s="391"/>
      <c r="M30" s="391"/>
      <c r="N30" s="395"/>
      <c r="O30" s="391"/>
      <c r="P30" s="391"/>
      <c r="Q30" s="391"/>
      <c r="R30" s="391"/>
      <c r="S30" s="391"/>
      <c r="T30" s="391"/>
      <c r="U30" s="391"/>
      <c r="V30" s="391"/>
      <c r="W30" s="391"/>
      <c r="X30" s="391"/>
      <c r="Y30" s="391"/>
      <c r="Z30" s="391"/>
      <c r="AA30" s="391"/>
      <c r="AB30" s="391"/>
      <c r="AC30" s="846"/>
      <c r="AD30" s="846"/>
      <c r="AE30" s="846"/>
      <c r="AF30" s="846"/>
      <c r="AG30" s="846"/>
      <c r="AH30" s="846"/>
      <c r="AI30" s="846"/>
      <c r="AJ30" s="846"/>
      <c r="AK30" s="846"/>
      <c r="AL30" s="846"/>
      <c r="AM30" s="846"/>
      <c r="AN30" s="848" t="s">
        <v>65</v>
      </c>
      <c r="AO30" s="848" t="s">
        <v>15</v>
      </c>
      <c r="AP30" s="848" t="s">
        <v>35</v>
      </c>
      <c r="AQ30" s="848" t="s">
        <v>66</v>
      </c>
      <c r="AR30" s="391"/>
      <c r="AS30" s="391"/>
      <c r="AT30" s="391"/>
      <c r="AU30" s="391"/>
      <c r="AV30" s="391"/>
      <c r="AW30" s="391"/>
      <c r="AX30" s="391"/>
      <c r="AY30" s="391"/>
      <c r="AZ30" s="391"/>
      <c r="BA30" s="391"/>
      <c r="BB30" s="391"/>
    </row>
    <row r="31" spans="2:54" s="6" customFormat="1" ht="24.95" customHeight="1">
      <c r="B31" s="392"/>
      <c r="C31" s="391"/>
      <c r="D31" s="706" t="s">
        <v>67</v>
      </c>
      <c r="E31" s="706"/>
      <c r="F31" s="706"/>
      <c r="G31" s="706"/>
      <c r="H31" s="706"/>
      <c r="I31" s="391"/>
      <c r="J31" s="391"/>
      <c r="K31" s="391"/>
      <c r="L31" s="391"/>
      <c r="M31" s="391"/>
      <c r="N31" s="395"/>
      <c r="O31" s="391"/>
      <c r="P31" s="391"/>
      <c r="Q31" s="391"/>
      <c r="R31" s="391"/>
      <c r="S31" s="391"/>
      <c r="T31" s="391"/>
      <c r="U31" s="391"/>
      <c r="V31" s="391"/>
      <c r="W31" s="391"/>
      <c r="X31" s="391"/>
      <c r="Y31" s="391"/>
      <c r="Z31" s="391"/>
      <c r="AA31" s="391"/>
      <c r="AB31" s="391"/>
      <c r="AC31" s="846"/>
      <c r="AD31" s="846"/>
      <c r="AE31" s="846"/>
      <c r="AF31" s="846"/>
      <c r="AG31" s="846"/>
      <c r="AH31" s="846"/>
      <c r="AI31" s="846"/>
      <c r="AJ31" s="846"/>
      <c r="AK31" s="846"/>
      <c r="AL31" s="846"/>
      <c r="AM31" s="846"/>
      <c r="AN31" s="848" t="s">
        <v>68</v>
      </c>
      <c r="AO31" s="848" t="s">
        <v>21</v>
      </c>
      <c r="AP31" s="848" t="s">
        <v>35</v>
      </c>
      <c r="AQ31" s="848" t="s">
        <v>69</v>
      </c>
      <c r="AR31" s="391"/>
      <c r="AS31" s="391"/>
      <c r="AT31" s="391"/>
      <c r="AU31" s="391"/>
      <c r="AV31" s="391"/>
      <c r="AW31" s="391"/>
      <c r="AX31" s="391"/>
      <c r="AY31" s="391"/>
      <c r="AZ31" s="391"/>
      <c r="BA31" s="391"/>
      <c r="BB31" s="391"/>
    </row>
    <row r="32" spans="2:54" s="6" customFormat="1" ht="24.95" customHeight="1">
      <c r="B32" s="392"/>
      <c r="C32" s="391"/>
      <c r="D32" s="706" t="s">
        <v>70</v>
      </c>
      <c r="E32" s="706"/>
      <c r="F32" s="706"/>
      <c r="G32" s="706"/>
      <c r="H32" s="706"/>
      <c r="I32" s="391"/>
      <c r="J32" s="391"/>
      <c r="K32" s="391"/>
      <c r="L32" s="391"/>
      <c r="M32" s="391"/>
      <c r="N32" s="395"/>
      <c r="O32" s="391"/>
      <c r="P32" s="391"/>
      <c r="Q32" s="391"/>
      <c r="R32" s="391"/>
      <c r="S32" s="391"/>
      <c r="T32" s="391"/>
      <c r="U32" s="391"/>
      <c r="V32" s="391"/>
      <c r="W32" s="391"/>
      <c r="X32" s="391"/>
      <c r="Y32" s="391"/>
      <c r="Z32" s="391"/>
      <c r="AA32" s="391"/>
      <c r="AB32" s="391"/>
      <c r="AC32" s="846"/>
      <c r="AD32" s="846"/>
      <c r="AE32" s="846"/>
      <c r="AF32" s="846"/>
      <c r="AG32" s="846"/>
      <c r="AH32" s="846"/>
      <c r="AI32" s="846"/>
      <c r="AJ32" s="846"/>
      <c r="AK32" s="846"/>
      <c r="AL32" s="846"/>
      <c r="AM32" s="846"/>
      <c r="AN32" s="848" t="s">
        <v>71</v>
      </c>
      <c r="AO32" s="848" t="s">
        <v>15</v>
      </c>
      <c r="AP32" s="848" t="s">
        <v>35</v>
      </c>
      <c r="AQ32" s="848" t="s">
        <v>72</v>
      </c>
      <c r="AR32" s="391"/>
      <c r="AS32" s="391"/>
      <c r="AT32" s="391"/>
      <c r="AU32" s="391"/>
      <c r="AV32" s="391"/>
      <c r="AW32" s="391"/>
      <c r="AX32" s="391"/>
      <c r="AY32" s="391"/>
      <c r="AZ32" s="391"/>
      <c r="BA32" s="391"/>
      <c r="BB32" s="391"/>
    </row>
    <row r="33" spans="2:54" s="6" customFormat="1" ht="24.95" customHeight="1">
      <c r="B33" s="392"/>
      <c r="C33" s="391"/>
      <c r="D33" s="706" t="s">
        <v>73</v>
      </c>
      <c r="E33" s="706"/>
      <c r="F33" s="706"/>
      <c r="G33" s="706"/>
      <c r="H33" s="706"/>
      <c r="I33" s="391"/>
      <c r="J33" s="391"/>
      <c r="K33" s="391"/>
      <c r="L33" s="391"/>
      <c r="M33" s="391"/>
      <c r="N33" s="395"/>
      <c r="O33" s="391"/>
      <c r="P33" s="391"/>
      <c r="Q33" s="391"/>
      <c r="R33" s="391"/>
      <c r="S33" s="391"/>
      <c r="T33" s="391"/>
      <c r="U33" s="391"/>
      <c r="V33" s="391"/>
      <c r="W33" s="391"/>
      <c r="X33" s="391"/>
      <c r="Y33" s="391"/>
      <c r="Z33" s="391"/>
      <c r="AA33" s="391"/>
      <c r="AB33" s="391"/>
      <c r="AC33" s="846"/>
      <c r="AD33" s="846"/>
      <c r="AE33" s="846"/>
      <c r="AF33" s="846"/>
      <c r="AG33" s="846"/>
      <c r="AH33" s="846"/>
      <c r="AI33" s="846"/>
      <c r="AJ33" s="846"/>
      <c r="AK33" s="846"/>
      <c r="AL33" s="846"/>
      <c r="AM33" s="846"/>
      <c r="AN33" s="848" t="s">
        <v>74</v>
      </c>
      <c r="AO33" s="848" t="s">
        <v>15</v>
      </c>
      <c r="AP33" s="848" t="s">
        <v>35</v>
      </c>
      <c r="AQ33" s="848" t="s">
        <v>75</v>
      </c>
      <c r="AR33" s="391"/>
      <c r="AS33" s="391"/>
      <c r="AT33" s="391"/>
      <c r="AU33" s="391"/>
      <c r="AV33" s="391"/>
      <c r="AW33" s="391"/>
      <c r="AX33" s="391"/>
      <c r="AY33" s="391"/>
      <c r="AZ33" s="391"/>
      <c r="BA33" s="391"/>
      <c r="BB33" s="391"/>
    </row>
    <row r="34" spans="2:54" s="6" customFormat="1" ht="24.95" customHeight="1">
      <c r="B34" s="392"/>
      <c r="C34" s="391"/>
      <c r="D34" s="706" t="s">
        <v>76</v>
      </c>
      <c r="E34" s="706"/>
      <c r="F34" s="706"/>
      <c r="G34" s="706"/>
      <c r="H34" s="706"/>
      <c r="I34" s="391"/>
      <c r="J34" s="391"/>
      <c r="K34" s="391"/>
      <c r="L34" s="391"/>
      <c r="M34" s="391"/>
      <c r="N34" s="395"/>
      <c r="O34" s="391"/>
      <c r="P34" s="391"/>
      <c r="Q34" s="391"/>
      <c r="R34" s="391"/>
      <c r="S34" s="391"/>
      <c r="T34" s="391"/>
      <c r="U34" s="391"/>
      <c r="V34" s="391"/>
      <c r="W34" s="391"/>
      <c r="X34" s="391"/>
      <c r="Y34" s="391"/>
      <c r="Z34" s="391"/>
      <c r="AA34" s="391"/>
      <c r="AB34" s="391"/>
      <c r="AC34" s="846"/>
      <c r="AD34" s="846"/>
      <c r="AE34" s="846"/>
      <c r="AF34" s="846"/>
      <c r="AG34" s="846"/>
      <c r="AH34" s="846"/>
      <c r="AI34" s="846"/>
      <c r="AJ34" s="846"/>
      <c r="AK34" s="846"/>
      <c r="AL34" s="846"/>
      <c r="AM34" s="846"/>
      <c r="AN34" s="848" t="s">
        <v>77</v>
      </c>
      <c r="AO34" s="848" t="s">
        <v>21</v>
      </c>
      <c r="AP34" s="848" t="s">
        <v>78</v>
      </c>
      <c r="AQ34" s="848" t="s">
        <v>79</v>
      </c>
      <c r="AR34" s="391"/>
      <c r="AS34" s="391"/>
      <c r="AT34" s="391"/>
      <c r="AU34" s="391"/>
      <c r="AV34" s="391"/>
      <c r="AW34" s="391"/>
      <c r="AX34" s="391"/>
      <c r="AY34" s="391"/>
      <c r="AZ34" s="391"/>
      <c r="BA34" s="391"/>
      <c r="BB34" s="391"/>
    </row>
    <row r="35" spans="2:54" s="6" customFormat="1" ht="24.95" customHeight="1">
      <c r="B35" s="392"/>
      <c r="C35" s="391"/>
      <c r="D35" s="706" t="s">
        <v>80</v>
      </c>
      <c r="E35" s="706"/>
      <c r="F35" s="706"/>
      <c r="G35" s="706"/>
      <c r="H35" s="706"/>
      <c r="I35" s="391"/>
      <c r="J35" s="391"/>
      <c r="K35" s="391"/>
      <c r="L35" s="391"/>
      <c r="M35" s="391"/>
      <c r="N35" s="395"/>
      <c r="O35" s="391"/>
      <c r="P35" s="391"/>
      <c r="Q35" s="391"/>
      <c r="R35" s="391"/>
      <c r="S35" s="391"/>
      <c r="T35" s="391"/>
      <c r="U35" s="391"/>
      <c r="V35" s="391"/>
      <c r="W35" s="391"/>
      <c r="X35" s="391"/>
      <c r="Y35" s="391"/>
      <c r="Z35" s="391"/>
      <c r="AA35" s="391"/>
      <c r="AB35" s="391"/>
      <c r="AC35" s="846"/>
      <c r="AD35" s="846"/>
      <c r="AE35" s="846"/>
      <c r="AF35" s="846"/>
      <c r="AG35" s="846"/>
      <c r="AH35" s="846"/>
      <c r="AI35" s="846"/>
      <c r="AJ35" s="846"/>
      <c r="AK35" s="846"/>
      <c r="AL35" s="846"/>
      <c r="AM35" s="846"/>
      <c r="AN35" s="848" t="s">
        <v>6</v>
      </c>
      <c r="AO35" s="848" t="s">
        <v>21</v>
      </c>
      <c r="AP35" s="848" t="s">
        <v>78</v>
      </c>
      <c r="AQ35" s="848" t="s">
        <v>81</v>
      </c>
      <c r="AR35" s="391"/>
      <c r="AS35" s="391"/>
      <c r="AT35" s="391"/>
      <c r="AU35" s="391"/>
      <c r="AV35" s="391"/>
      <c r="AW35" s="391"/>
      <c r="AX35" s="391"/>
      <c r="AY35" s="391"/>
      <c r="AZ35" s="391"/>
      <c r="BA35" s="391"/>
      <c r="BB35" s="391"/>
    </row>
    <row r="36" spans="2:54" s="6" customFormat="1" ht="24.95" customHeight="1">
      <c r="B36" s="392"/>
      <c r="C36" s="391"/>
      <c r="D36" s="706" t="s">
        <v>82</v>
      </c>
      <c r="E36" s="706"/>
      <c r="F36" s="706"/>
      <c r="G36" s="706"/>
      <c r="H36" s="706"/>
      <c r="I36" s="391"/>
      <c r="J36" s="391"/>
      <c r="K36" s="391"/>
      <c r="L36" s="391"/>
      <c r="M36" s="391"/>
      <c r="N36" s="395"/>
      <c r="O36" s="391"/>
      <c r="P36" s="391"/>
      <c r="Q36" s="391"/>
      <c r="R36" s="391"/>
      <c r="S36" s="391"/>
      <c r="T36" s="391"/>
      <c r="U36" s="391"/>
      <c r="V36" s="391"/>
      <c r="W36" s="391"/>
      <c r="X36" s="391"/>
      <c r="Y36" s="391"/>
      <c r="Z36" s="391"/>
      <c r="AA36" s="391"/>
      <c r="AB36" s="391"/>
      <c r="AC36" s="846"/>
      <c r="AD36" s="846"/>
      <c r="AE36" s="846"/>
      <c r="AF36" s="846"/>
      <c r="AG36" s="846"/>
      <c r="AH36" s="846"/>
      <c r="AI36" s="846"/>
      <c r="AJ36" s="846"/>
      <c r="AK36" s="846"/>
      <c r="AL36" s="846"/>
      <c r="AM36" s="846"/>
      <c r="AN36" s="848" t="s">
        <v>83</v>
      </c>
      <c r="AO36" s="848" t="s">
        <v>21</v>
      </c>
      <c r="AP36" s="848" t="s">
        <v>78</v>
      </c>
      <c r="AQ36" s="848" t="s">
        <v>84</v>
      </c>
      <c r="AR36" s="391"/>
      <c r="AS36" s="391"/>
      <c r="AT36" s="391"/>
      <c r="AU36" s="391"/>
      <c r="AV36" s="391"/>
      <c r="AW36" s="391"/>
      <c r="AX36" s="391"/>
      <c r="AY36" s="391"/>
      <c r="AZ36" s="391"/>
      <c r="BA36" s="391"/>
      <c r="BB36" s="391"/>
    </row>
    <row r="37" spans="2:54" s="6" customFormat="1" ht="24.95" customHeight="1">
      <c r="B37" s="392"/>
      <c r="C37" s="391"/>
      <c r="D37" s="706" t="s">
        <v>85</v>
      </c>
      <c r="E37" s="706"/>
      <c r="F37" s="706"/>
      <c r="G37" s="706"/>
      <c r="H37" s="706"/>
      <c r="I37" s="391"/>
      <c r="J37" s="391"/>
      <c r="K37" s="391"/>
      <c r="L37" s="391"/>
      <c r="M37" s="391"/>
      <c r="N37" s="395"/>
      <c r="O37" s="391"/>
      <c r="P37" s="391"/>
      <c r="Q37" s="391"/>
      <c r="R37" s="391"/>
      <c r="S37" s="391"/>
      <c r="T37" s="391"/>
      <c r="U37" s="391"/>
      <c r="V37" s="391"/>
      <c r="W37" s="391"/>
      <c r="X37" s="391"/>
      <c r="Y37" s="391"/>
      <c r="Z37" s="391"/>
      <c r="AA37" s="391"/>
      <c r="AB37" s="391"/>
      <c r="AC37" s="846"/>
      <c r="AD37" s="846"/>
      <c r="AE37" s="846"/>
      <c r="AF37" s="846"/>
      <c r="AG37" s="846"/>
      <c r="AH37" s="846"/>
      <c r="AI37" s="846"/>
      <c r="AJ37" s="846"/>
      <c r="AK37" s="846"/>
      <c r="AL37" s="846"/>
      <c r="AM37" s="846"/>
      <c r="AN37" s="848" t="s">
        <v>86</v>
      </c>
      <c r="AO37" s="848" t="s">
        <v>21</v>
      </c>
      <c r="AP37" s="848" t="s">
        <v>78</v>
      </c>
      <c r="AQ37" s="848" t="s">
        <v>87</v>
      </c>
      <c r="AR37" s="391"/>
      <c r="AS37" s="391"/>
      <c r="AT37" s="391"/>
      <c r="AU37" s="391"/>
      <c r="AV37" s="391"/>
      <c r="AW37" s="391"/>
      <c r="AX37" s="391"/>
      <c r="AY37" s="391"/>
      <c r="AZ37" s="391"/>
      <c r="BA37" s="391"/>
      <c r="BB37" s="391"/>
    </row>
    <row r="38" spans="2:54" s="6" customFormat="1" ht="24.95" customHeight="1">
      <c r="B38" s="392"/>
      <c r="C38" s="391"/>
      <c r="D38" s="706" t="s">
        <v>88</v>
      </c>
      <c r="E38" s="706"/>
      <c r="F38" s="706"/>
      <c r="G38" s="706"/>
      <c r="H38" s="706"/>
      <c r="I38" s="391"/>
      <c r="J38" s="391"/>
      <c r="K38" s="391"/>
      <c r="L38" s="391"/>
      <c r="M38" s="391"/>
      <c r="N38" s="395"/>
      <c r="O38" s="391"/>
      <c r="P38" s="391"/>
      <c r="Q38" s="391"/>
      <c r="R38" s="391"/>
      <c r="S38" s="391"/>
      <c r="T38" s="391"/>
      <c r="U38" s="391"/>
      <c r="V38" s="391"/>
      <c r="W38" s="391"/>
      <c r="X38" s="391"/>
      <c r="Y38" s="391"/>
      <c r="Z38" s="391"/>
      <c r="AA38" s="391"/>
      <c r="AB38" s="391"/>
      <c r="AC38" s="846"/>
      <c r="AD38" s="846"/>
      <c r="AE38" s="846"/>
      <c r="AF38" s="846"/>
      <c r="AG38" s="846"/>
      <c r="AH38" s="846"/>
      <c r="AI38" s="846"/>
      <c r="AJ38" s="846"/>
      <c r="AK38" s="846"/>
      <c r="AL38" s="846"/>
      <c r="AM38" s="846"/>
      <c r="AN38" s="848"/>
      <c r="AO38" s="848"/>
      <c r="AP38" s="848"/>
      <c r="AQ38" s="848"/>
      <c r="AR38" s="391"/>
      <c r="AS38" s="391"/>
      <c r="AT38" s="391"/>
      <c r="AU38" s="391"/>
      <c r="AV38" s="391"/>
      <c r="AW38" s="391"/>
      <c r="AX38" s="391"/>
      <c r="AY38" s="391"/>
      <c r="AZ38" s="391"/>
      <c r="BA38" s="391"/>
      <c r="BB38" s="391"/>
    </row>
    <row r="39" spans="2:54" s="6" customFormat="1" ht="24.95" customHeight="1">
      <c r="B39" s="392"/>
      <c r="C39" s="391"/>
      <c r="D39" s="706" t="s">
        <v>89</v>
      </c>
      <c r="E39" s="706"/>
      <c r="F39" s="706"/>
      <c r="G39" s="706"/>
      <c r="H39" s="706"/>
      <c r="I39" s="391"/>
      <c r="J39" s="391"/>
      <c r="K39" s="391"/>
      <c r="L39" s="391"/>
      <c r="M39" s="391"/>
      <c r="N39" s="395"/>
      <c r="O39" s="391"/>
      <c r="P39" s="391"/>
      <c r="Q39" s="391"/>
      <c r="R39" s="391"/>
      <c r="S39" s="391"/>
      <c r="T39" s="391"/>
      <c r="U39" s="391"/>
      <c r="V39" s="391"/>
      <c r="W39" s="391"/>
      <c r="X39" s="391"/>
      <c r="Y39" s="391"/>
      <c r="Z39" s="391"/>
      <c r="AA39" s="391"/>
      <c r="AB39" s="391"/>
      <c r="AC39" s="846"/>
      <c r="AD39" s="846"/>
      <c r="AE39" s="846"/>
      <c r="AF39" s="846"/>
      <c r="AG39" s="846"/>
      <c r="AH39" s="846"/>
      <c r="AI39" s="846"/>
      <c r="AJ39" s="846"/>
      <c r="AK39" s="846"/>
      <c r="AL39" s="846"/>
      <c r="AM39" s="846"/>
      <c r="AN39" s="848"/>
      <c r="AO39" s="848"/>
      <c r="AP39" s="848"/>
      <c r="AQ39" s="848"/>
      <c r="AR39" s="391"/>
      <c r="AS39" s="391"/>
      <c r="AT39" s="391"/>
      <c r="AU39" s="391"/>
      <c r="AV39" s="391"/>
      <c r="AW39" s="391"/>
      <c r="AX39" s="391"/>
      <c r="AY39" s="391"/>
      <c r="AZ39" s="391"/>
      <c r="BA39" s="391"/>
      <c r="BB39" s="391"/>
    </row>
    <row r="40" spans="2:54" s="6" customFormat="1" ht="24.95" customHeight="1">
      <c r="B40" s="392"/>
      <c r="C40" s="391"/>
      <c r="D40" s="706" t="s">
        <v>90</v>
      </c>
      <c r="E40" s="706"/>
      <c r="F40" s="706"/>
      <c r="G40" s="706"/>
      <c r="H40" s="706"/>
      <c r="I40" s="391"/>
      <c r="J40" s="391"/>
      <c r="K40" s="391"/>
      <c r="L40" s="391"/>
      <c r="M40" s="391"/>
      <c r="N40" s="395"/>
      <c r="O40" s="391"/>
      <c r="P40" s="391"/>
      <c r="Q40" s="391"/>
      <c r="R40" s="391"/>
      <c r="S40" s="391"/>
      <c r="T40" s="391"/>
      <c r="U40" s="391"/>
      <c r="V40" s="391"/>
      <c r="W40" s="391"/>
      <c r="X40" s="391"/>
      <c r="Y40" s="391"/>
      <c r="Z40" s="391"/>
      <c r="AA40" s="391"/>
      <c r="AB40" s="391"/>
      <c r="AC40" s="391"/>
      <c r="AD40" s="391"/>
      <c r="AE40" s="391"/>
      <c r="AF40" s="391"/>
      <c r="AG40" s="391"/>
      <c r="AH40" s="391"/>
      <c r="AI40" s="391"/>
      <c r="AJ40" s="391"/>
      <c r="AK40" s="391"/>
      <c r="AL40" s="391"/>
      <c r="AM40" s="391"/>
      <c r="AN40"/>
      <c r="AO40"/>
      <c r="AP40"/>
      <c r="AQ40" s="848"/>
      <c r="AR40" s="391"/>
      <c r="AS40" s="391"/>
      <c r="AT40" s="391"/>
      <c r="AU40" s="391"/>
      <c r="AV40" s="391"/>
      <c r="AW40" s="391"/>
      <c r="AX40" s="391"/>
      <c r="AY40" s="391"/>
      <c r="AZ40" s="391"/>
      <c r="BA40" s="391"/>
      <c r="BB40" s="391"/>
    </row>
    <row r="41" spans="2:54" s="6" customFormat="1" ht="24.95" customHeight="1">
      <c r="B41" s="392"/>
      <c r="C41" s="391"/>
      <c r="D41" s="706" t="s">
        <v>91</v>
      </c>
      <c r="E41" s="706"/>
      <c r="F41" s="706"/>
      <c r="G41" s="706"/>
      <c r="H41" s="706"/>
      <c r="I41" s="391"/>
      <c r="J41" s="391"/>
      <c r="K41" s="391"/>
      <c r="L41" s="391"/>
      <c r="M41" s="391"/>
      <c r="N41" s="395"/>
      <c r="O41" s="391"/>
      <c r="P41" s="391"/>
      <c r="Q41" s="391"/>
      <c r="R41" s="391"/>
      <c r="S41" s="391"/>
      <c r="T41" s="391"/>
      <c r="U41" s="391"/>
      <c r="V41" s="391"/>
      <c r="W41" s="391"/>
      <c r="X41" s="391"/>
      <c r="Y41" s="391"/>
      <c r="Z41" s="391"/>
      <c r="AA41" s="391"/>
      <c r="AB41" s="391"/>
      <c r="AC41" s="391"/>
      <c r="AD41" s="391"/>
      <c r="AE41" s="391"/>
      <c r="AF41" s="391"/>
      <c r="AG41" s="391"/>
      <c r="AH41" s="391"/>
      <c r="AI41" s="391"/>
      <c r="AJ41" s="391"/>
      <c r="AK41" s="391"/>
      <c r="AL41" s="391"/>
      <c r="AM41" s="391"/>
      <c r="AN41" s="391"/>
      <c r="AO41" s="391"/>
      <c r="AP41" s="391"/>
      <c r="AQ41" s="391"/>
      <c r="AR41" s="391"/>
      <c r="AS41" s="391"/>
      <c r="AT41" s="391"/>
      <c r="AU41" s="391"/>
      <c r="AV41" s="391"/>
      <c r="AW41" s="391"/>
      <c r="AX41" s="391"/>
      <c r="AY41" s="391"/>
      <c r="AZ41" s="391"/>
      <c r="BA41" s="391"/>
      <c r="BB41" s="391"/>
    </row>
    <row r="42" spans="2:54" s="6" customFormat="1" ht="24.95" customHeight="1">
      <c r="B42" s="392"/>
      <c r="C42" s="391"/>
      <c r="D42" s="706" t="s">
        <v>92</v>
      </c>
      <c r="E42" s="706"/>
      <c r="F42" s="706"/>
      <c r="G42" s="706"/>
      <c r="H42" s="706"/>
      <c r="I42" s="391"/>
      <c r="J42" s="391"/>
      <c r="K42" s="391"/>
      <c r="L42" s="391"/>
      <c r="M42" s="391"/>
      <c r="N42" s="395"/>
      <c r="O42" s="391"/>
      <c r="P42" s="391"/>
      <c r="Q42" s="391"/>
      <c r="R42" s="391"/>
      <c r="S42" s="391"/>
      <c r="T42" s="391"/>
      <c r="U42" s="391"/>
      <c r="V42" s="391"/>
      <c r="W42" s="391"/>
      <c r="X42" s="391"/>
      <c r="Y42" s="391"/>
      <c r="Z42" s="391"/>
      <c r="AA42" s="391"/>
      <c r="AB42" s="391"/>
      <c r="AC42" s="391"/>
      <c r="AD42" s="391"/>
      <c r="AE42" s="391"/>
      <c r="AF42" s="391"/>
      <c r="AG42" s="391"/>
      <c r="AH42" s="391"/>
      <c r="AI42" s="391"/>
      <c r="AJ42" s="391"/>
      <c r="AK42" s="391"/>
      <c r="AL42" s="391"/>
      <c r="AM42" s="391"/>
      <c r="AN42" s="391"/>
      <c r="AO42" s="391"/>
      <c r="AP42" s="391"/>
      <c r="AQ42" s="391"/>
      <c r="AR42" s="391"/>
      <c r="AS42" s="391"/>
      <c r="AT42" s="391"/>
      <c r="AU42" s="391"/>
      <c r="AV42" s="391"/>
      <c r="AW42" s="391"/>
      <c r="AX42" s="391"/>
      <c r="AY42" s="391"/>
      <c r="AZ42" s="391"/>
      <c r="BA42" s="391"/>
      <c r="BB42" s="391"/>
    </row>
    <row r="43" spans="2:54" s="6" customFormat="1" ht="24.95" customHeight="1">
      <c r="B43" s="392"/>
      <c r="C43" s="391"/>
      <c r="D43" s="706" t="s">
        <v>93</v>
      </c>
      <c r="E43" s="706"/>
      <c r="F43" s="706"/>
      <c r="G43" s="706"/>
      <c r="H43" s="706"/>
      <c r="I43" s="391"/>
      <c r="J43" s="391"/>
      <c r="K43" s="391"/>
      <c r="L43" s="391"/>
      <c r="M43" s="391"/>
      <c r="N43" s="395"/>
      <c r="O43" s="391"/>
      <c r="P43" s="391"/>
      <c r="Q43" s="391"/>
      <c r="R43" s="391"/>
      <c r="S43" s="391"/>
      <c r="T43" s="391"/>
      <c r="U43" s="391"/>
      <c r="V43" s="391"/>
      <c r="W43" s="391"/>
      <c r="X43" s="391"/>
      <c r="Y43" s="391"/>
      <c r="Z43" s="391"/>
      <c r="AA43" s="391"/>
      <c r="AB43" s="391"/>
      <c r="AC43" s="391"/>
      <c r="AD43" s="391"/>
      <c r="AE43" s="391"/>
      <c r="AF43" s="391"/>
      <c r="AG43" s="391"/>
      <c r="AH43" s="391"/>
      <c r="AI43" s="391"/>
      <c r="AJ43" s="391"/>
      <c r="AK43" s="391"/>
      <c r="AL43" s="391"/>
      <c r="AM43" s="391"/>
      <c r="AN43" s="391"/>
      <c r="AO43" s="391"/>
      <c r="AP43" s="391"/>
      <c r="AQ43" s="391"/>
      <c r="AR43" s="391"/>
      <c r="AS43" s="391"/>
      <c r="AT43" s="391"/>
      <c r="AU43" s="391"/>
      <c r="AV43" s="391"/>
      <c r="AW43" s="391"/>
      <c r="AX43" s="391"/>
      <c r="AY43" s="391"/>
      <c r="AZ43" s="391"/>
      <c r="BA43" s="391"/>
      <c r="BB43" s="391"/>
    </row>
    <row r="44" spans="2:54" s="6" customFormat="1" ht="24.95" customHeight="1">
      <c r="B44" s="392"/>
      <c r="C44" s="391"/>
      <c r="D44" s="706" t="s">
        <v>94</v>
      </c>
      <c r="E44" s="706"/>
      <c r="F44" s="706"/>
      <c r="G44" s="706"/>
      <c r="H44" s="706"/>
      <c r="I44" s="391"/>
      <c r="J44" s="391"/>
      <c r="K44" s="391"/>
      <c r="L44" s="391"/>
      <c r="M44" s="391"/>
      <c r="N44" s="395"/>
      <c r="O44" s="391"/>
      <c r="P44" s="391"/>
      <c r="Q44" s="391"/>
      <c r="R44" s="391"/>
      <c r="S44" s="391"/>
      <c r="T44" s="391"/>
      <c r="U44" s="391"/>
      <c r="V44" s="391"/>
      <c r="W44" s="391"/>
      <c r="X44" s="391"/>
      <c r="Y44" s="391"/>
      <c r="Z44" s="391"/>
      <c r="AA44" s="391"/>
      <c r="AB44" s="391"/>
      <c r="AC44" s="391"/>
      <c r="AD44" s="391"/>
      <c r="AE44" s="391"/>
      <c r="AF44" s="391"/>
      <c r="AG44" s="391"/>
      <c r="AH44" s="391"/>
      <c r="AI44" s="391"/>
      <c r="AJ44" s="391"/>
      <c r="AK44" s="391"/>
      <c r="AL44" s="391"/>
      <c r="AM44" s="391"/>
      <c r="AN44" s="391"/>
      <c r="AO44" s="391"/>
      <c r="AP44" s="391"/>
      <c r="AQ44" s="391"/>
      <c r="AR44" s="391"/>
      <c r="AS44" s="391"/>
      <c r="AT44" s="391"/>
      <c r="AU44" s="391"/>
      <c r="AV44" s="391"/>
      <c r="AW44" s="391"/>
      <c r="AX44" s="391"/>
      <c r="AY44" s="391"/>
      <c r="AZ44" s="391"/>
      <c r="BA44" s="391"/>
      <c r="BB44" s="391"/>
    </row>
    <row r="45" spans="2:54" s="6" customFormat="1" ht="24.95" customHeight="1">
      <c r="B45" s="392"/>
      <c r="C45" s="391"/>
      <c r="D45" s="706"/>
      <c r="E45" s="706"/>
      <c r="F45" s="706"/>
      <c r="G45" s="706"/>
      <c r="H45" s="706"/>
      <c r="I45" s="391"/>
      <c r="J45" s="391"/>
      <c r="K45" s="391"/>
      <c r="L45" s="391"/>
      <c r="M45" s="391"/>
      <c r="N45" s="395"/>
      <c r="O45" s="391"/>
      <c r="P45" s="391"/>
      <c r="Q45" s="391"/>
      <c r="R45" s="391"/>
      <c r="S45" s="391"/>
      <c r="T45" s="391"/>
      <c r="U45" s="391"/>
      <c r="V45" s="391"/>
      <c r="W45" s="391"/>
      <c r="X45" s="391"/>
      <c r="Y45" s="391"/>
      <c r="Z45" s="391"/>
      <c r="AA45" s="391"/>
      <c r="AB45" s="391"/>
      <c r="AC45" s="391"/>
      <c r="AD45" s="391"/>
      <c r="AE45" s="391"/>
      <c r="AF45" s="391"/>
      <c r="AG45" s="391"/>
      <c r="AH45" s="391"/>
      <c r="AI45" s="391"/>
      <c r="AJ45" s="391"/>
      <c r="AK45" s="391"/>
      <c r="AL45" s="391"/>
      <c r="AM45" s="391"/>
      <c r="AN45" s="391"/>
      <c r="AO45" s="391"/>
      <c r="AP45" s="391"/>
      <c r="AQ45" s="391"/>
      <c r="AR45" s="391"/>
      <c r="AS45" s="391"/>
      <c r="AT45" s="391"/>
      <c r="AU45" s="391"/>
      <c r="AV45" s="391"/>
      <c r="AW45" s="391"/>
      <c r="AX45" s="391"/>
      <c r="AY45" s="391"/>
      <c r="AZ45" s="391"/>
      <c r="BA45" s="391"/>
      <c r="BB45" s="391"/>
    </row>
    <row r="46" spans="2:54" s="6" customFormat="1" ht="24.95" customHeight="1">
      <c r="B46" s="392"/>
      <c r="C46" s="391"/>
      <c r="D46" s="706"/>
      <c r="E46" s="706"/>
      <c r="F46" s="706"/>
      <c r="G46" s="706"/>
      <c r="H46" s="706"/>
      <c r="I46" s="391"/>
      <c r="J46" s="391"/>
      <c r="K46" s="391"/>
      <c r="L46" s="391"/>
      <c r="M46" s="391"/>
      <c r="N46" s="395"/>
      <c r="O46" s="391"/>
      <c r="P46" s="391"/>
      <c r="Q46" s="391"/>
      <c r="R46" s="391"/>
      <c r="S46" s="391"/>
      <c r="T46" s="391"/>
      <c r="U46" s="391"/>
      <c r="V46" s="391"/>
      <c r="W46" s="391"/>
      <c r="X46" s="391"/>
      <c r="Y46" s="391"/>
      <c r="Z46" s="391"/>
      <c r="AA46" s="391"/>
      <c r="AB46" s="391"/>
      <c r="AC46" s="391"/>
      <c r="AD46" s="391"/>
      <c r="AE46" s="391"/>
      <c r="AF46" s="391"/>
      <c r="AG46" s="391"/>
      <c r="AH46" s="391"/>
      <c r="AI46" s="391"/>
      <c r="AJ46" s="391"/>
      <c r="AK46" s="391"/>
      <c r="AL46" s="391"/>
      <c r="AM46" s="391"/>
      <c r="AN46" s="391"/>
      <c r="AO46" s="391"/>
      <c r="AP46" s="391"/>
      <c r="AQ46" s="391"/>
      <c r="AR46" s="391"/>
      <c r="AS46" s="391"/>
      <c r="AT46" s="391"/>
      <c r="AU46" s="391"/>
      <c r="AV46" s="391"/>
      <c r="AW46" s="391"/>
      <c r="AX46" s="391"/>
      <c r="AY46" s="391"/>
      <c r="AZ46" s="391"/>
      <c r="BA46" s="391"/>
      <c r="BB46" s="391"/>
    </row>
    <row r="47" spans="2:54" s="6" customFormat="1" ht="24.95" customHeight="1">
      <c r="B47" s="392"/>
      <c r="C47" s="391"/>
      <c r="D47" s="706" t="s">
        <v>95</v>
      </c>
      <c r="E47" s="706"/>
      <c r="F47" s="706"/>
      <c r="G47" s="706"/>
      <c r="H47" s="706"/>
      <c r="I47" s="391"/>
      <c r="J47" s="391"/>
      <c r="K47" s="391"/>
      <c r="L47" s="391"/>
      <c r="M47" s="391"/>
      <c r="N47" s="395"/>
      <c r="O47" s="391"/>
      <c r="P47" s="391"/>
      <c r="Q47" s="391"/>
      <c r="R47" s="391"/>
      <c r="S47" s="391"/>
      <c r="T47" s="391"/>
      <c r="U47" s="391"/>
      <c r="V47" s="391"/>
      <c r="W47" s="391"/>
      <c r="X47" s="391"/>
      <c r="Y47" s="391"/>
      <c r="Z47" s="391"/>
      <c r="AA47" s="391"/>
      <c r="AB47" s="391"/>
      <c r="AC47" s="391"/>
      <c r="AD47" s="391"/>
      <c r="AE47" s="391"/>
      <c r="AF47" s="391"/>
      <c r="AG47" s="391"/>
      <c r="AH47" s="391"/>
      <c r="AI47" s="391"/>
      <c r="AJ47" s="391"/>
      <c r="AK47" s="391"/>
      <c r="AL47" s="391"/>
      <c r="AM47" s="391"/>
      <c r="AN47" s="391"/>
      <c r="AO47" s="391"/>
      <c r="AP47" s="391"/>
      <c r="AQ47" s="391"/>
      <c r="AR47" s="391"/>
      <c r="AS47" s="391"/>
      <c r="AT47" s="391"/>
      <c r="AU47" s="391"/>
      <c r="AV47" s="391"/>
      <c r="AW47" s="391"/>
      <c r="AX47" s="391"/>
      <c r="AY47" s="391"/>
      <c r="AZ47" s="391"/>
      <c r="BA47" s="391"/>
      <c r="BB47" s="391"/>
    </row>
    <row r="48" spans="2:54" s="2" customFormat="1" ht="24.95" customHeight="1">
      <c r="B48" s="874"/>
      <c r="C48" s="412"/>
      <c r="D48" s="412"/>
      <c r="E48" s="412"/>
      <c r="F48" s="412"/>
      <c r="G48" s="412"/>
      <c r="H48" s="412"/>
      <c r="I48" s="412"/>
      <c r="J48" s="412"/>
      <c r="K48" s="412"/>
      <c r="L48" s="412"/>
      <c r="M48" s="412"/>
      <c r="N48" s="875"/>
      <c r="O48" s="412"/>
      <c r="P48" s="412"/>
      <c r="Q48" s="412"/>
      <c r="R48" s="412"/>
      <c r="S48" s="412"/>
      <c r="T48" s="412"/>
      <c r="U48" s="412"/>
      <c r="V48" s="412"/>
      <c r="W48" s="412"/>
      <c r="X48" s="412"/>
      <c r="Y48" s="412"/>
      <c r="Z48" s="412"/>
      <c r="AA48" s="412"/>
      <c r="AB48" s="412"/>
      <c r="AC48" s="412"/>
      <c r="AD48" s="412"/>
      <c r="AE48" s="412"/>
      <c r="AF48" s="412"/>
      <c r="AG48" s="412"/>
      <c r="AH48" s="412"/>
      <c r="AI48" s="412"/>
      <c r="AJ48" s="412"/>
      <c r="AK48" s="412"/>
      <c r="AL48" s="412"/>
      <c r="AM48" s="412"/>
      <c r="AN48" s="412"/>
      <c r="AO48" s="412"/>
      <c r="AP48" s="412"/>
      <c r="AQ48" s="412"/>
      <c r="AR48" s="412"/>
      <c r="AS48" s="412"/>
      <c r="AT48" s="412"/>
      <c r="AU48" s="412"/>
      <c r="AV48" s="412"/>
      <c r="AW48" s="412"/>
      <c r="AX48" s="412"/>
      <c r="AY48" s="412"/>
      <c r="AZ48" s="412"/>
      <c r="BA48" s="412"/>
      <c r="BB48" s="412"/>
    </row>
    <row r="49" spans="2:54" s="2" customFormat="1" ht="24.95" customHeight="1">
      <c r="B49" s="874"/>
      <c r="C49" s="184" t="s">
        <v>96</v>
      </c>
      <c r="D49" s="878"/>
      <c r="E49" s="878"/>
      <c r="F49" s="878"/>
      <c r="G49" s="878"/>
      <c r="H49" s="878"/>
      <c r="I49" s="878"/>
      <c r="J49" s="878"/>
      <c r="K49" s="878"/>
      <c r="L49" s="878"/>
      <c r="M49" s="878"/>
      <c r="N49" s="875"/>
      <c r="O49" s="412"/>
      <c r="P49" s="412"/>
      <c r="Q49" s="412"/>
      <c r="R49" s="412"/>
      <c r="S49" s="412"/>
      <c r="T49" s="412"/>
      <c r="U49" s="412"/>
      <c r="V49" s="412"/>
      <c r="W49" s="412"/>
      <c r="X49" s="412"/>
      <c r="Y49" s="412"/>
      <c r="Z49" s="412"/>
      <c r="AA49" s="412"/>
      <c r="AB49" s="412"/>
      <c r="AC49" s="412"/>
      <c r="AD49" s="412"/>
      <c r="AE49" s="412"/>
      <c r="AF49" s="412"/>
      <c r="AG49" s="412"/>
      <c r="AH49" s="412"/>
      <c r="AI49" s="412"/>
      <c r="AJ49" s="412"/>
      <c r="AK49" s="412"/>
      <c r="AL49" s="412"/>
      <c r="AM49" s="412"/>
      <c r="AN49" s="412"/>
      <c r="AO49" s="412"/>
      <c r="AP49" s="412"/>
      <c r="AQ49" s="412"/>
      <c r="AR49" s="412"/>
      <c r="AS49" s="412"/>
      <c r="AT49" s="412"/>
      <c r="AU49" s="412"/>
      <c r="AV49" s="412"/>
      <c r="AW49" s="412"/>
      <c r="AX49" s="412"/>
      <c r="AY49" s="412"/>
      <c r="AZ49" s="412"/>
      <c r="BA49" s="412"/>
      <c r="BB49" s="412"/>
    </row>
    <row r="50" spans="2:54" s="2" customFormat="1" ht="24.95" customHeight="1">
      <c r="B50" s="874"/>
      <c r="C50" s="412"/>
      <c r="D50" s="412"/>
      <c r="E50" s="412"/>
      <c r="F50" s="412"/>
      <c r="G50" s="412"/>
      <c r="H50" s="412"/>
      <c r="I50" s="412"/>
      <c r="J50" s="412"/>
      <c r="K50" s="412"/>
      <c r="L50" s="412"/>
      <c r="M50" s="412"/>
      <c r="N50" s="875"/>
      <c r="O50" s="412"/>
      <c r="P50" s="412"/>
      <c r="Q50" s="412"/>
      <c r="R50" s="412"/>
      <c r="S50" s="412"/>
      <c r="T50" s="412"/>
      <c r="U50" s="412"/>
      <c r="V50" s="412"/>
      <c r="W50" s="412"/>
      <c r="X50" s="412"/>
      <c r="Y50" s="412"/>
      <c r="Z50" s="412"/>
      <c r="AA50" s="412"/>
      <c r="AB50" s="412"/>
      <c r="AC50" s="412"/>
      <c r="AD50" s="412"/>
      <c r="AE50" s="412"/>
      <c r="AF50" s="412"/>
      <c r="AG50" s="412"/>
      <c r="AH50" s="412"/>
      <c r="AI50" s="412"/>
      <c r="AJ50" s="412"/>
      <c r="AK50" s="412"/>
      <c r="AL50" s="412"/>
      <c r="AM50" s="412"/>
      <c r="AN50" s="412"/>
      <c r="AO50" s="412"/>
      <c r="AP50" s="412"/>
      <c r="AQ50" s="412"/>
      <c r="AR50" s="412"/>
      <c r="AS50" s="412"/>
      <c r="AT50" s="412"/>
      <c r="AU50" s="412"/>
      <c r="AV50" s="412"/>
      <c r="AW50" s="412"/>
      <c r="AX50" s="412"/>
      <c r="AY50" s="412"/>
      <c r="AZ50" s="412"/>
      <c r="BA50" s="412"/>
      <c r="BB50" s="412"/>
    </row>
    <row r="51" spans="2:54" s="2" customFormat="1" ht="24.95" customHeight="1">
      <c r="B51" s="874"/>
      <c r="C51" s="412" t="s">
        <v>97</v>
      </c>
      <c r="D51" s="412"/>
      <c r="E51" s="412"/>
      <c r="F51" s="412"/>
      <c r="G51" s="412"/>
      <c r="H51" s="412"/>
      <c r="I51" s="412"/>
      <c r="J51" s="412"/>
      <c r="K51" s="412"/>
      <c r="L51" s="412"/>
      <c r="M51" s="412"/>
      <c r="N51" s="875"/>
      <c r="O51" s="412"/>
      <c r="P51" s="412"/>
      <c r="Q51" s="412"/>
      <c r="R51" s="412"/>
      <c r="S51" s="412"/>
      <c r="T51" s="412"/>
      <c r="U51" s="412"/>
      <c r="V51" s="412"/>
      <c r="W51" s="412"/>
      <c r="X51" s="412"/>
      <c r="Y51" s="412"/>
      <c r="Z51" s="412"/>
      <c r="AA51" s="412"/>
      <c r="AB51" s="412"/>
      <c r="AC51" s="412"/>
      <c r="AD51" s="412"/>
      <c r="AE51" s="412"/>
      <c r="AF51" s="412"/>
      <c r="AG51" s="412"/>
      <c r="AH51" s="412"/>
      <c r="AI51" s="412"/>
      <c r="AJ51" s="412"/>
      <c r="AK51" s="412"/>
      <c r="AL51" s="412"/>
      <c r="AM51" s="412"/>
      <c r="AN51" s="412"/>
      <c r="AO51" s="412"/>
      <c r="AP51" s="412"/>
      <c r="AQ51" s="412"/>
      <c r="AR51" s="412"/>
      <c r="AS51" s="412"/>
      <c r="AT51" s="412"/>
      <c r="AU51" s="412"/>
      <c r="AV51" s="412"/>
      <c r="AW51" s="412"/>
      <c r="AX51" s="412"/>
      <c r="AY51" s="412"/>
      <c r="AZ51" s="412"/>
      <c r="BA51" s="412"/>
      <c r="BB51" s="412"/>
    </row>
    <row r="52" spans="2:54" s="2" customFormat="1" ht="30" customHeight="1" thickBot="1">
      <c r="B52" s="879"/>
      <c r="C52" s="880"/>
      <c r="D52" s="880"/>
      <c r="E52" s="880"/>
      <c r="F52" s="880"/>
      <c r="G52" s="880"/>
      <c r="H52" s="880"/>
      <c r="I52" s="880"/>
      <c r="J52" s="880"/>
      <c r="K52" s="880"/>
      <c r="L52" s="880"/>
      <c r="M52" s="880"/>
      <c r="N52" s="881"/>
      <c r="O52" s="412"/>
      <c r="P52" s="412"/>
      <c r="Q52" s="412"/>
      <c r="R52" s="412"/>
      <c r="S52" s="412"/>
      <c r="T52" s="412"/>
      <c r="U52" s="412"/>
      <c r="V52" s="412"/>
      <c r="W52" s="412"/>
      <c r="X52" s="412"/>
      <c r="Y52" s="412"/>
      <c r="Z52" s="412"/>
      <c r="AA52" s="412"/>
      <c r="AB52" s="412"/>
      <c r="AC52" s="412"/>
      <c r="AD52" s="412"/>
      <c r="AE52" s="412"/>
      <c r="AF52" s="412"/>
      <c r="AG52" s="412"/>
      <c r="AH52" s="412"/>
      <c r="AI52" s="412"/>
      <c r="AJ52" s="412"/>
      <c r="AK52" s="412"/>
      <c r="AL52" s="412"/>
      <c r="AM52" s="412"/>
      <c r="AN52" s="412"/>
      <c r="AO52" s="412"/>
      <c r="AP52" s="412"/>
      <c r="AQ52" s="412"/>
      <c r="AR52" s="412"/>
      <c r="AS52" s="412"/>
      <c r="AT52" s="412"/>
      <c r="AU52" s="412"/>
      <c r="AV52" s="412"/>
      <c r="AW52" s="412"/>
      <c r="AX52" s="412"/>
      <c r="AY52" s="412"/>
      <c r="AZ52" s="412"/>
      <c r="BA52" s="412"/>
      <c r="BB52" s="412"/>
    </row>
    <row r="53" spans="2:54" s="2" customFormat="1" ht="30" customHeight="1">
      <c r="B53" s="412"/>
      <c r="C53" s="412"/>
      <c r="D53" s="412"/>
      <c r="E53" s="412"/>
      <c r="F53" s="412"/>
      <c r="G53" s="412"/>
      <c r="H53" s="412"/>
      <c r="I53" s="412"/>
      <c r="J53" s="412"/>
      <c r="K53" s="412"/>
      <c r="L53" s="412"/>
      <c r="M53" s="412"/>
      <c r="N53" s="412"/>
      <c r="O53" s="412"/>
      <c r="P53" s="412"/>
      <c r="Q53" s="412"/>
      <c r="R53" s="412"/>
      <c r="S53" s="412"/>
      <c r="T53" s="412"/>
      <c r="U53" s="412"/>
      <c r="V53" s="412"/>
      <c r="W53" s="412"/>
      <c r="X53" s="412"/>
      <c r="Y53" s="412"/>
      <c r="Z53" s="412"/>
      <c r="AA53" s="412"/>
      <c r="AB53" s="412"/>
      <c r="AC53" s="412"/>
      <c r="AD53" s="412"/>
      <c r="AE53" s="412"/>
      <c r="AF53" s="412"/>
      <c r="AG53" s="412"/>
      <c r="AH53" s="412"/>
      <c r="AI53" s="412"/>
      <c r="AJ53" s="412"/>
      <c r="AK53" s="412"/>
      <c r="AL53" s="412"/>
      <c r="AM53" s="412"/>
      <c r="AN53" s="412"/>
      <c r="AO53" s="412"/>
      <c r="AP53" s="412"/>
      <c r="AQ53" s="412"/>
      <c r="AR53" s="412"/>
      <c r="AS53" s="412"/>
      <c r="AT53" s="412"/>
      <c r="AU53" s="412"/>
      <c r="AV53" s="412"/>
      <c r="AW53" s="412"/>
      <c r="AX53" s="412"/>
      <c r="AY53" s="412"/>
      <c r="AZ53" s="412"/>
      <c r="BA53" s="412"/>
      <c r="BB53" s="412"/>
    </row>
    <row r="54" spans="2:54" s="23" customFormat="1" ht="12.75">
      <c r="C54" s="19" t="s">
        <v>98</v>
      </c>
      <c r="G54" s="24"/>
      <c r="M54" s="22" t="s">
        <v>99</v>
      </c>
    </row>
    <row r="55" spans="2:54" s="23" customFormat="1" ht="12.75">
      <c r="C55" s="19" t="s">
        <v>100</v>
      </c>
      <c r="G55" s="24"/>
    </row>
    <row r="56" spans="2:54" s="23" customFormat="1" ht="12.75">
      <c r="C56" s="19" t="s">
        <v>101</v>
      </c>
      <c r="G56" s="24"/>
    </row>
    <row r="57" spans="2:54" s="23" customFormat="1" ht="12.75">
      <c r="C57" s="19" t="s">
        <v>102</v>
      </c>
      <c r="G57" s="24"/>
    </row>
    <row r="58" spans="2:54" s="23" customFormat="1" ht="12.75">
      <c r="C58" s="19" t="s">
        <v>103</v>
      </c>
      <c r="G58" s="24"/>
    </row>
    <row r="59" spans="2:54" s="2" customFormat="1" ht="30" customHeight="1">
      <c r="B59" s="412"/>
      <c r="C59" s="412"/>
      <c r="D59" s="412"/>
      <c r="E59" s="412"/>
      <c r="F59" s="412"/>
      <c r="G59" s="412"/>
      <c r="H59" s="412"/>
      <c r="I59" s="412"/>
      <c r="J59" s="412"/>
      <c r="K59" s="412"/>
      <c r="L59" s="412"/>
      <c r="M59" s="412"/>
      <c r="N59" s="412"/>
      <c r="O59" s="412"/>
      <c r="P59" s="412"/>
      <c r="Q59" s="412"/>
      <c r="R59" s="412"/>
      <c r="S59" s="412"/>
      <c r="T59" s="412"/>
      <c r="U59" s="412"/>
      <c r="V59" s="412"/>
      <c r="W59" s="412"/>
      <c r="X59" s="412"/>
      <c r="Y59" s="412"/>
      <c r="Z59" s="412"/>
      <c r="AA59" s="412"/>
      <c r="AB59" s="412"/>
      <c r="AC59" s="412"/>
      <c r="AD59" s="412"/>
      <c r="AE59" s="412"/>
      <c r="AF59" s="412"/>
      <c r="AG59" s="412"/>
      <c r="AH59" s="412"/>
      <c r="AI59" s="412"/>
      <c r="AJ59" s="412"/>
      <c r="AK59" s="412"/>
      <c r="AL59" s="412"/>
      <c r="AM59" s="412"/>
      <c r="AN59" s="412"/>
      <c r="AO59" s="412"/>
      <c r="AP59" s="412"/>
      <c r="AQ59" s="412"/>
      <c r="AR59" s="412"/>
      <c r="AS59" s="412"/>
      <c r="AT59" s="412"/>
      <c r="AU59" s="412"/>
      <c r="AV59" s="412"/>
      <c r="AW59" s="412"/>
      <c r="AX59" s="412"/>
      <c r="AY59" s="412"/>
      <c r="AZ59" s="412"/>
      <c r="BA59" s="412"/>
      <c r="BB59" s="412"/>
    </row>
    <row r="60" spans="2:54" s="2" customFormat="1" ht="30" customHeight="1">
      <c r="B60" s="412"/>
      <c r="C60" s="412"/>
      <c r="D60" s="412"/>
      <c r="E60" s="412"/>
      <c r="F60" s="412"/>
      <c r="G60" s="412"/>
      <c r="H60" s="412"/>
      <c r="I60" s="412"/>
      <c r="J60" s="412"/>
      <c r="K60" s="412"/>
      <c r="L60" s="412"/>
      <c r="M60" s="412"/>
      <c r="N60" s="412"/>
      <c r="O60" s="412"/>
      <c r="P60" s="412"/>
      <c r="Q60" s="412"/>
      <c r="R60" s="412"/>
      <c r="S60" s="412"/>
      <c r="T60" s="412"/>
      <c r="U60" s="412"/>
      <c r="V60" s="412"/>
      <c r="W60" s="412"/>
      <c r="X60" s="412"/>
      <c r="Y60" s="412"/>
      <c r="Z60" s="412"/>
      <c r="AA60" s="412"/>
      <c r="AB60" s="412"/>
      <c r="AC60" s="412"/>
      <c r="AD60" s="412"/>
      <c r="AE60" s="412"/>
      <c r="AF60" s="412"/>
      <c r="AG60" s="412"/>
      <c r="AH60" s="412"/>
      <c r="AI60" s="412"/>
      <c r="AJ60" s="412"/>
      <c r="AK60" s="412"/>
      <c r="AL60" s="412"/>
      <c r="AM60" s="412"/>
      <c r="AN60" s="412"/>
      <c r="AO60" s="412"/>
      <c r="AP60" s="412"/>
      <c r="AQ60" s="412"/>
      <c r="AR60" s="412"/>
      <c r="AS60" s="412"/>
      <c r="AT60" s="412"/>
      <c r="AU60" s="412"/>
      <c r="AV60" s="412"/>
      <c r="AW60" s="412"/>
      <c r="AX60" s="412"/>
      <c r="AY60" s="412"/>
      <c r="AZ60" s="412"/>
      <c r="BA60" s="412"/>
      <c r="BB60" s="412"/>
    </row>
    <row r="61" spans="2:54" s="2" customFormat="1" ht="30" customHeight="1">
      <c r="B61" s="412"/>
      <c r="C61" s="412"/>
      <c r="D61" s="412"/>
      <c r="E61" s="412"/>
      <c r="F61" s="412"/>
      <c r="G61" s="412"/>
      <c r="H61" s="412"/>
      <c r="I61" s="412"/>
      <c r="J61" s="412"/>
      <c r="K61" s="412"/>
      <c r="L61" s="412"/>
      <c r="M61" s="412"/>
      <c r="N61" s="412"/>
      <c r="O61" s="412"/>
      <c r="P61" s="412"/>
      <c r="Q61" s="412"/>
      <c r="R61" s="412"/>
      <c r="S61" s="412"/>
      <c r="T61" s="412"/>
      <c r="U61" s="412"/>
      <c r="V61" s="412"/>
      <c r="W61" s="412"/>
      <c r="X61" s="412"/>
      <c r="Y61" s="412"/>
      <c r="Z61" s="412"/>
      <c r="AA61" s="412"/>
      <c r="AB61" s="412"/>
      <c r="AC61" s="412"/>
      <c r="AD61" s="412"/>
      <c r="AE61" s="412"/>
      <c r="AF61" s="412"/>
      <c r="AG61" s="412"/>
      <c r="AH61" s="412"/>
      <c r="AI61" s="412"/>
      <c r="AJ61" s="412"/>
      <c r="AK61" s="412"/>
      <c r="AL61" s="412"/>
      <c r="AM61" s="412"/>
      <c r="AN61" s="412"/>
      <c r="AO61" s="412"/>
      <c r="AP61" s="412"/>
      <c r="AQ61" s="412"/>
      <c r="AR61" s="412"/>
      <c r="AS61" s="412"/>
      <c r="AT61" s="412"/>
      <c r="AU61" s="412"/>
      <c r="AV61" s="412"/>
      <c r="AW61" s="412"/>
      <c r="AX61" s="412"/>
      <c r="AY61" s="412"/>
      <c r="AZ61" s="412"/>
      <c r="BA61" s="412"/>
      <c r="BB61" s="412"/>
    </row>
    <row r="62" spans="2:54" s="2" customFormat="1" ht="30" customHeight="1">
      <c r="B62" s="412"/>
      <c r="C62" s="412"/>
      <c r="D62" s="412"/>
      <c r="E62" s="412"/>
      <c r="F62" s="412"/>
      <c r="G62" s="412"/>
      <c r="H62" s="412"/>
      <c r="I62" s="412"/>
      <c r="J62" s="412"/>
      <c r="K62" s="412"/>
      <c r="L62" s="412"/>
      <c r="M62" s="412"/>
      <c r="N62" s="412"/>
      <c r="O62" s="412"/>
      <c r="P62" s="412"/>
      <c r="Q62" s="412"/>
      <c r="R62" s="412"/>
      <c r="S62" s="412"/>
      <c r="T62" s="412"/>
      <c r="U62" s="412"/>
      <c r="V62" s="412"/>
      <c r="W62" s="412"/>
      <c r="X62" s="412"/>
      <c r="Y62" s="412"/>
      <c r="Z62" s="412"/>
      <c r="AA62" s="412"/>
      <c r="AB62" s="412"/>
      <c r="AC62" s="412"/>
      <c r="AD62" s="412"/>
      <c r="AE62" s="412"/>
      <c r="AF62" s="412"/>
      <c r="AG62" s="412"/>
      <c r="AH62" s="412"/>
      <c r="AI62" s="412"/>
      <c r="AJ62" s="412"/>
      <c r="AK62" s="412"/>
      <c r="AL62" s="412"/>
      <c r="AM62" s="412"/>
      <c r="AN62" s="412"/>
      <c r="AO62" s="412"/>
      <c r="AP62" s="412"/>
      <c r="AQ62" s="412"/>
      <c r="AR62" s="412"/>
      <c r="AS62" s="412"/>
      <c r="AT62" s="412"/>
      <c r="AU62" s="412"/>
      <c r="AV62" s="412"/>
      <c r="AW62" s="412"/>
      <c r="AX62" s="412"/>
      <c r="AY62" s="412"/>
      <c r="AZ62" s="412"/>
      <c r="BA62" s="412"/>
      <c r="BB62" s="412"/>
    </row>
    <row r="63" spans="2:54" s="2" customFormat="1" ht="30" customHeight="1">
      <c r="B63" s="412"/>
      <c r="C63" s="412"/>
      <c r="D63" s="412"/>
      <c r="E63" s="412"/>
      <c r="F63" s="412"/>
      <c r="G63" s="412"/>
      <c r="H63" s="412"/>
      <c r="I63" s="412"/>
      <c r="J63" s="412"/>
      <c r="K63" s="412"/>
      <c r="L63" s="412"/>
      <c r="M63" s="412"/>
      <c r="N63" s="412"/>
      <c r="O63" s="412"/>
      <c r="P63" s="412"/>
      <c r="Q63" s="412"/>
      <c r="R63" s="412"/>
      <c r="S63" s="412"/>
      <c r="T63" s="412"/>
      <c r="U63" s="412"/>
      <c r="V63" s="412"/>
      <c r="W63" s="412"/>
      <c r="X63" s="412"/>
      <c r="Y63" s="412"/>
      <c r="Z63" s="412"/>
      <c r="AA63" s="412"/>
      <c r="AB63" s="412"/>
      <c r="AC63" s="412"/>
      <c r="AD63" s="412"/>
      <c r="AE63" s="412"/>
      <c r="AF63" s="412"/>
      <c r="AG63" s="412"/>
      <c r="AH63" s="412"/>
      <c r="AI63" s="412"/>
      <c r="AJ63" s="412"/>
      <c r="AK63" s="412"/>
      <c r="AL63" s="412"/>
      <c r="AM63" s="412"/>
      <c r="AN63" s="412"/>
      <c r="AO63" s="412"/>
      <c r="AP63" s="412"/>
      <c r="AQ63" s="412"/>
      <c r="AR63" s="412"/>
      <c r="AS63" s="412"/>
      <c r="AT63" s="412"/>
      <c r="AU63" s="412"/>
      <c r="AV63" s="412"/>
      <c r="AW63" s="412"/>
      <c r="AX63" s="412"/>
      <c r="AY63" s="412"/>
      <c r="AZ63" s="412"/>
      <c r="BA63" s="412"/>
      <c r="BB63" s="412"/>
    </row>
    <row r="64" spans="2:54" s="2" customFormat="1" ht="30" customHeight="1">
      <c r="B64" s="412"/>
      <c r="C64" s="412"/>
      <c r="D64" s="412"/>
      <c r="E64" s="412"/>
      <c r="F64" s="412"/>
      <c r="G64" s="412"/>
      <c r="H64" s="412"/>
      <c r="I64" s="412"/>
      <c r="J64" s="412"/>
      <c r="K64" s="412"/>
      <c r="L64" s="412"/>
      <c r="M64" s="412"/>
      <c r="N64" s="412"/>
      <c r="O64" s="412"/>
      <c r="P64" s="412"/>
      <c r="Q64" s="412"/>
      <c r="R64" s="412"/>
      <c r="S64" s="412"/>
      <c r="T64" s="412"/>
      <c r="U64" s="412"/>
      <c r="V64" s="412"/>
      <c r="W64" s="412"/>
      <c r="X64" s="412"/>
      <c r="Y64" s="412"/>
      <c r="Z64" s="412"/>
      <c r="AA64" s="412"/>
      <c r="AB64" s="412"/>
      <c r="AC64" s="412"/>
      <c r="AD64" s="412"/>
      <c r="AE64" s="412"/>
      <c r="AF64" s="412"/>
      <c r="AG64" s="412"/>
      <c r="AH64" s="412"/>
      <c r="AI64" s="412"/>
      <c r="AJ64" s="412"/>
      <c r="AK64" s="412"/>
      <c r="AL64" s="412"/>
      <c r="AM64" s="412"/>
      <c r="AN64" s="412"/>
      <c r="AO64" s="412"/>
      <c r="AP64" s="412"/>
      <c r="AQ64" s="412"/>
      <c r="AR64" s="412"/>
      <c r="AS64" s="412"/>
      <c r="AT64" s="412"/>
      <c r="AU64" s="412"/>
      <c r="AV64" s="412"/>
      <c r="AW64" s="412"/>
      <c r="AX64" s="412"/>
      <c r="AY64" s="412"/>
      <c r="AZ64" s="412"/>
      <c r="BA64" s="412"/>
      <c r="BB64" s="412"/>
    </row>
    <row r="65" spans="26:54" s="2" customFormat="1" ht="30" customHeight="1">
      <c r="Z65" s="412"/>
      <c r="AA65" s="412"/>
      <c r="AB65" s="412"/>
      <c r="AC65" s="412"/>
      <c r="AD65" s="412"/>
      <c r="AE65" s="412"/>
      <c r="AF65" s="412"/>
      <c r="AG65" s="412"/>
      <c r="AH65" s="412"/>
      <c r="AI65" s="412"/>
      <c r="AJ65" s="412"/>
      <c r="AK65" s="412"/>
      <c r="AL65" s="412"/>
      <c r="AM65" s="412"/>
      <c r="AN65" s="412"/>
      <c r="AO65" s="412"/>
      <c r="AP65" s="412"/>
      <c r="AQ65" s="412"/>
      <c r="AR65" s="412"/>
      <c r="AS65" s="412"/>
      <c r="AT65" s="412"/>
      <c r="AU65" s="412"/>
      <c r="AV65" s="412"/>
      <c r="AW65" s="412"/>
      <c r="AX65" s="412"/>
      <c r="AY65" s="412"/>
      <c r="AZ65" s="412"/>
      <c r="BA65" s="412"/>
      <c r="BB65" s="412"/>
    </row>
    <row r="66" spans="26:54" s="2" customFormat="1" ht="30" customHeight="1">
      <c r="Z66" s="412"/>
      <c r="AA66" s="412"/>
      <c r="AB66" s="412"/>
      <c r="AC66" s="412"/>
      <c r="AD66" s="412"/>
      <c r="AE66" s="412"/>
      <c r="AF66" s="412"/>
      <c r="AG66" s="412"/>
      <c r="AH66" s="412"/>
      <c r="AI66" s="412"/>
      <c r="AJ66" s="412"/>
      <c r="AK66" s="412"/>
      <c r="AL66" s="412"/>
      <c r="AM66" s="412"/>
      <c r="AN66" s="412"/>
      <c r="AO66" s="412"/>
      <c r="AP66" s="412"/>
      <c r="AQ66" s="412"/>
      <c r="AR66" s="412"/>
      <c r="AS66" s="412"/>
      <c r="AT66" s="412"/>
      <c r="AU66" s="412"/>
      <c r="AV66" s="412"/>
      <c r="AW66" s="412"/>
      <c r="AX66" s="412"/>
      <c r="AY66" s="412"/>
      <c r="AZ66" s="412"/>
      <c r="BA66" s="412"/>
      <c r="BB66" s="412"/>
    </row>
    <row r="67" spans="26:54" s="2" customFormat="1" ht="30" customHeight="1">
      <c r="Z67" s="412"/>
      <c r="AA67" s="412"/>
      <c r="AB67" s="412"/>
      <c r="AC67" s="412"/>
      <c r="AD67" s="412"/>
      <c r="AE67" s="412"/>
      <c r="AF67" s="412"/>
      <c r="AG67" s="412"/>
      <c r="AH67" s="412"/>
      <c r="AI67" s="412"/>
      <c r="AJ67" s="412"/>
      <c r="AK67" s="412"/>
      <c r="AL67" s="412"/>
      <c r="AM67" s="412"/>
      <c r="AN67" s="412"/>
      <c r="AO67" s="412"/>
      <c r="AP67" s="412"/>
      <c r="AQ67" s="412"/>
      <c r="AR67" s="412"/>
      <c r="AS67" s="412"/>
      <c r="AT67" s="412"/>
      <c r="AU67" s="412"/>
      <c r="AV67" s="412"/>
      <c r="AW67" s="412"/>
      <c r="AX67" s="412"/>
      <c r="AY67" s="412"/>
      <c r="AZ67" s="412"/>
      <c r="BA67" s="412"/>
      <c r="BB67" s="412"/>
    </row>
    <row r="68" spans="26:54" s="2" customFormat="1" ht="30" customHeight="1">
      <c r="Z68" s="412"/>
      <c r="AA68" s="412"/>
      <c r="AB68" s="412"/>
      <c r="AC68" s="412"/>
      <c r="AD68" s="412"/>
      <c r="AE68" s="412"/>
      <c r="AF68" s="412"/>
      <c r="AG68" s="412"/>
      <c r="AH68" s="412"/>
      <c r="AI68" s="412"/>
      <c r="AJ68" s="412"/>
      <c r="AK68" s="412"/>
      <c r="AL68" s="412"/>
      <c r="AM68" s="412"/>
      <c r="AN68" s="412"/>
      <c r="AO68" s="412"/>
      <c r="AP68" s="412"/>
      <c r="AQ68" s="412"/>
      <c r="AR68" s="412"/>
      <c r="AS68" s="412"/>
      <c r="AT68" s="412"/>
      <c r="AU68" s="412"/>
      <c r="AV68" s="412"/>
      <c r="AW68" s="412"/>
      <c r="AX68" s="412"/>
      <c r="AY68" s="412"/>
      <c r="AZ68" s="412"/>
      <c r="BA68" s="412"/>
      <c r="BB68" s="412"/>
    </row>
    <row r="69" spans="26:54" s="2" customFormat="1" ht="30" customHeight="1">
      <c r="Z69" s="412"/>
      <c r="AA69" s="412"/>
      <c r="AB69" s="412"/>
      <c r="AC69" s="412"/>
      <c r="AD69" s="412"/>
      <c r="AE69" s="412"/>
      <c r="AF69" s="412"/>
      <c r="AG69" s="412"/>
      <c r="AH69" s="412"/>
      <c r="AI69" s="412"/>
      <c r="AJ69" s="412"/>
      <c r="AK69" s="412"/>
      <c r="AL69" s="412"/>
      <c r="AM69" s="412"/>
      <c r="AN69" s="412"/>
      <c r="AO69" s="412"/>
      <c r="AP69" s="412"/>
      <c r="AQ69" s="412"/>
      <c r="AR69" s="412"/>
      <c r="AS69" s="412"/>
      <c r="AT69" s="412"/>
      <c r="AU69" s="412"/>
      <c r="AV69" s="412"/>
      <c r="AW69" s="412"/>
      <c r="AX69" s="412"/>
      <c r="AY69" s="412"/>
      <c r="AZ69" s="412"/>
      <c r="BA69" s="412"/>
      <c r="BB69" s="412"/>
    </row>
    <row r="70" spans="26:54" s="2" customFormat="1" ht="30" customHeight="1">
      <c r="Z70" s="412"/>
      <c r="AA70" s="412"/>
      <c r="AB70" s="412"/>
      <c r="AC70" s="412"/>
      <c r="AD70" s="412"/>
      <c r="AE70" s="412"/>
      <c r="AF70" s="412"/>
      <c r="AG70" s="412"/>
      <c r="AH70" s="412"/>
      <c r="AI70" s="412"/>
      <c r="AJ70" s="412"/>
      <c r="AK70" s="412"/>
      <c r="AL70" s="412"/>
      <c r="AM70" s="412"/>
      <c r="AN70" s="412"/>
      <c r="AO70" s="412"/>
      <c r="AP70" s="412"/>
      <c r="AQ70" s="412"/>
      <c r="AR70" s="412"/>
      <c r="AS70" s="412"/>
      <c r="AT70" s="412"/>
      <c r="AU70" s="412"/>
      <c r="AV70" s="412"/>
      <c r="AW70" s="412"/>
      <c r="AX70" s="412"/>
      <c r="AY70" s="412"/>
      <c r="AZ70" s="412"/>
      <c r="BA70" s="412"/>
      <c r="BB70" s="412"/>
    </row>
    <row r="71" spans="26:54" s="2" customFormat="1" ht="30" customHeight="1">
      <c r="Z71" s="412"/>
      <c r="AA71" s="412"/>
      <c r="AB71" s="412"/>
      <c r="AC71" s="412"/>
      <c r="AD71" s="412"/>
      <c r="AE71" s="412"/>
      <c r="AF71" s="412"/>
      <c r="AG71" s="412"/>
      <c r="AH71" s="412"/>
      <c r="AI71" s="412"/>
      <c r="AJ71" s="412"/>
      <c r="AK71" s="412"/>
      <c r="AL71" s="412"/>
      <c r="AM71" s="412"/>
      <c r="AN71" s="412"/>
      <c r="AO71" s="412"/>
      <c r="AP71" s="412"/>
      <c r="AQ71" s="412"/>
      <c r="AR71" s="412"/>
      <c r="AS71" s="412"/>
      <c r="AT71" s="412"/>
      <c r="AU71" s="412"/>
      <c r="AV71" s="412"/>
      <c r="AW71" s="412"/>
      <c r="AX71" s="412"/>
      <c r="AY71" s="412"/>
      <c r="AZ71" s="412"/>
      <c r="BA71" s="412"/>
      <c r="BB71" s="412"/>
    </row>
    <row r="72" spans="26:54" s="2" customFormat="1" ht="30" customHeight="1">
      <c r="Z72" s="412"/>
      <c r="AA72" s="412"/>
      <c r="AB72" s="412"/>
      <c r="AC72" s="412"/>
      <c r="AD72" s="412"/>
      <c r="AE72" s="412"/>
      <c r="AF72" s="412"/>
      <c r="AG72" s="412"/>
      <c r="AH72" s="412"/>
      <c r="AI72" s="412"/>
      <c r="AJ72" s="412"/>
      <c r="AK72" s="412"/>
      <c r="AL72" s="412"/>
      <c r="AM72" s="412"/>
      <c r="AN72" s="412"/>
      <c r="AO72" s="412"/>
      <c r="AP72" s="412"/>
      <c r="AQ72" s="412"/>
      <c r="AR72" s="412"/>
      <c r="AS72" s="412"/>
      <c r="AT72" s="412"/>
      <c r="AU72" s="412"/>
      <c r="AV72" s="412"/>
      <c r="AW72" s="412"/>
      <c r="AX72" s="412"/>
      <c r="AY72" s="412"/>
      <c r="AZ72" s="412"/>
      <c r="BA72" s="412"/>
      <c r="BB72" s="412"/>
    </row>
    <row r="73" spans="26:54" s="2" customFormat="1" ht="30" customHeight="1">
      <c r="Z73" s="412"/>
      <c r="AA73" s="412"/>
      <c r="AB73" s="412"/>
      <c r="AC73" s="412"/>
      <c r="AD73" s="412"/>
      <c r="AE73" s="412"/>
      <c r="AF73" s="412"/>
      <c r="AG73" s="412"/>
      <c r="AH73" s="412"/>
      <c r="AI73" s="412"/>
      <c r="AJ73" s="412"/>
      <c r="AK73" s="412"/>
      <c r="AL73" s="412"/>
      <c r="AM73" s="412"/>
      <c r="AN73" s="412"/>
      <c r="AO73" s="412"/>
      <c r="AP73" s="412"/>
      <c r="AQ73" s="412"/>
      <c r="AR73" s="412"/>
      <c r="AS73" s="412"/>
      <c r="AT73" s="412"/>
      <c r="AU73" s="412"/>
      <c r="AV73" s="412"/>
      <c r="AW73" s="412"/>
      <c r="AX73" s="412"/>
      <c r="AY73" s="412"/>
      <c r="AZ73" s="412"/>
      <c r="BA73" s="412"/>
      <c r="BB73" s="412"/>
    </row>
    <row r="74" spans="26:54" s="2" customFormat="1" ht="30" customHeight="1">
      <c r="Z74" s="412"/>
      <c r="AA74" s="412"/>
      <c r="AB74" s="412"/>
      <c r="AC74" s="412"/>
      <c r="AD74" s="412"/>
      <c r="AE74" s="412"/>
      <c r="AF74" s="412"/>
      <c r="AG74" s="412"/>
      <c r="AH74" s="412"/>
      <c r="AI74" s="412"/>
      <c r="AJ74" s="412"/>
      <c r="AK74" s="412"/>
      <c r="AL74" s="412"/>
      <c r="AM74" s="412"/>
      <c r="AN74" s="412"/>
      <c r="AO74" s="412"/>
      <c r="AP74" s="412"/>
      <c r="AQ74" s="412"/>
      <c r="AR74" s="412"/>
      <c r="AS74" s="412"/>
      <c r="AT74" s="412"/>
      <c r="AU74" s="412"/>
      <c r="AV74" s="412"/>
      <c r="AW74" s="412"/>
      <c r="AX74" s="412"/>
      <c r="AY74" s="412"/>
      <c r="AZ74" s="412"/>
      <c r="BA74" s="412"/>
      <c r="BB74" s="412"/>
    </row>
    <row r="75" spans="26:54" s="2" customFormat="1" ht="30" customHeight="1">
      <c r="Z75" s="412"/>
      <c r="AA75" s="412"/>
      <c r="AB75" s="412"/>
      <c r="AC75" s="412"/>
      <c r="AD75" s="412"/>
      <c r="AE75" s="412"/>
      <c r="AF75" s="412"/>
      <c r="AG75" s="412"/>
      <c r="AH75" s="412"/>
      <c r="AI75" s="412"/>
      <c r="AJ75" s="412"/>
      <c r="AK75" s="412"/>
      <c r="AL75" s="412"/>
      <c r="AM75" s="412"/>
      <c r="AN75" s="412"/>
      <c r="AO75" s="412"/>
      <c r="AP75" s="412"/>
      <c r="AQ75" s="412"/>
      <c r="AR75" s="412"/>
      <c r="AS75" s="412"/>
      <c r="AT75" s="412"/>
      <c r="AU75" s="412"/>
      <c r="AV75" s="412"/>
      <c r="AW75" s="412"/>
      <c r="AX75" s="412"/>
      <c r="AY75" s="412"/>
      <c r="AZ75" s="412"/>
      <c r="BA75" s="412"/>
      <c r="BB75" s="412"/>
    </row>
    <row r="76" spans="26:54" s="2" customFormat="1" ht="30" customHeight="1">
      <c r="Z76" s="412"/>
      <c r="AA76" s="412"/>
      <c r="AB76" s="412"/>
      <c r="AC76" s="412"/>
      <c r="AD76" s="412"/>
      <c r="AE76" s="412"/>
      <c r="AF76" s="412"/>
      <c r="AG76" s="412"/>
      <c r="AH76" s="412"/>
      <c r="AI76" s="412"/>
      <c r="AJ76" s="412"/>
      <c r="AK76" s="412"/>
      <c r="AL76" s="412"/>
      <c r="AM76" s="412"/>
      <c r="AN76" s="412"/>
      <c r="AO76" s="412"/>
      <c r="AP76" s="412"/>
      <c r="AQ76" s="412"/>
      <c r="AR76" s="412"/>
      <c r="AS76" s="412"/>
      <c r="AT76" s="412"/>
      <c r="AU76" s="412"/>
      <c r="AV76" s="412"/>
      <c r="AW76" s="412"/>
      <c r="AX76" s="412"/>
      <c r="AY76" s="412"/>
      <c r="AZ76" s="412"/>
      <c r="BA76" s="412"/>
      <c r="BB76" s="412"/>
    </row>
    <row r="77" spans="26:54" s="2" customFormat="1" ht="30" customHeight="1">
      <c r="Z77" s="412"/>
      <c r="AA77" s="412"/>
      <c r="AB77" s="412"/>
      <c r="AC77" s="412"/>
      <c r="AD77" s="412"/>
      <c r="AE77" s="412"/>
      <c r="AF77" s="412"/>
      <c r="AG77" s="412"/>
      <c r="AH77" s="412"/>
      <c r="AI77" s="412"/>
      <c r="AJ77" s="412"/>
      <c r="AK77" s="412"/>
      <c r="AL77" s="412"/>
      <c r="AM77" s="412"/>
      <c r="AN77" s="412"/>
      <c r="AO77" s="412"/>
      <c r="AP77" s="412"/>
      <c r="AQ77" s="412"/>
      <c r="AR77" s="412"/>
      <c r="AS77" s="412"/>
      <c r="AT77" s="412"/>
      <c r="AU77" s="412"/>
      <c r="AV77" s="412"/>
      <c r="AW77" s="412"/>
      <c r="AX77" s="412"/>
      <c r="AY77" s="412"/>
      <c r="AZ77" s="412"/>
      <c r="BA77" s="412"/>
      <c r="BB77" s="412"/>
    </row>
    <row r="78" spans="26:54" s="2" customFormat="1" ht="30" customHeight="1">
      <c r="Z78" s="412"/>
      <c r="AA78" s="412"/>
      <c r="AB78" s="412"/>
      <c r="AC78" s="412"/>
      <c r="AD78" s="412"/>
      <c r="AE78" s="412"/>
      <c r="AF78" s="412"/>
      <c r="AG78" s="412"/>
      <c r="AH78" s="412"/>
      <c r="AI78" s="412"/>
      <c r="AJ78" s="412"/>
      <c r="AK78" s="412"/>
      <c r="AL78" s="412"/>
      <c r="AM78" s="412"/>
      <c r="AN78" s="412"/>
      <c r="AO78" s="412"/>
      <c r="AP78" s="412"/>
      <c r="AQ78" s="412"/>
      <c r="AR78" s="412"/>
      <c r="AS78" s="412"/>
      <c r="AT78" s="412"/>
      <c r="AU78" s="412"/>
      <c r="AV78" s="412"/>
      <c r="AW78" s="412"/>
      <c r="AX78" s="412"/>
      <c r="AY78" s="412"/>
      <c r="AZ78" s="412"/>
      <c r="BA78" s="412"/>
      <c r="BB78" s="412"/>
    </row>
    <row r="79" spans="26:54" s="2" customFormat="1" ht="30" customHeight="1">
      <c r="Z79" s="412"/>
      <c r="AA79" s="412"/>
      <c r="AB79" s="412"/>
      <c r="AC79" s="412"/>
      <c r="AD79" s="412"/>
      <c r="AE79" s="412"/>
      <c r="AF79" s="412"/>
      <c r="AG79" s="412"/>
      <c r="AH79" s="412"/>
      <c r="AI79" s="412"/>
      <c r="AJ79" s="412"/>
      <c r="AK79" s="412"/>
      <c r="AL79" s="412"/>
      <c r="AM79" s="412"/>
      <c r="AN79" s="412"/>
      <c r="AO79" s="412"/>
      <c r="AP79" s="412"/>
      <c r="AQ79" s="412"/>
      <c r="AR79" s="412"/>
      <c r="AS79" s="412"/>
      <c r="AT79" s="412"/>
      <c r="AU79" s="412"/>
      <c r="AV79" s="412"/>
      <c r="AW79" s="412"/>
      <c r="AX79" s="412"/>
      <c r="AY79" s="412"/>
      <c r="AZ79" s="412"/>
      <c r="BA79" s="412"/>
      <c r="BB79" s="412"/>
    </row>
    <row r="80" spans="26:54" s="2" customFormat="1" ht="30" customHeight="1">
      <c r="Z80" s="412"/>
      <c r="AA80" s="412"/>
      <c r="AB80" s="412"/>
      <c r="AC80" s="412"/>
      <c r="AD80" s="412"/>
      <c r="AE80" s="412"/>
      <c r="AF80" s="412"/>
      <c r="AG80" s="412"/>
      <c r="AH80" s="412"/>
      <c r="AI80" s="412"/>
      <c r="AJ80" s="412"/>
      <c r="AK80" s="412"/>
      <c r="AL80" s="412"/>
      <c r="AM80" s="412"/>
      <c r="AN80" s="412"/>
      <c r="AO80" s="412"/>
      <c r="AP80" s="412"/>
      <c r="AQ80" s="412"/>
      <c r="AR80" s="412"/>
      <c r="AS80" s="412"/>
      <c r="AT80" s="412"/>
      <c r="AU80" s="412"/>
      <c r="AV80" s="412"/>
      <c r="AW80" s="412"/>
      <c r="AX80" s="412"/>
      <c r="AY80" s="412"/>
      <c r="AZ80" s="412"/>
      <c r="BA80" s="412"/>
      <c r="BB80" s="412"/>
    </row>
    <row r="81" spans="26:54" s="2" customFormat="1" ht="30" customHeight="1">
      <c r="Z81" s="412"/>
      <c r="AA81" s="412"/>
      <c r="AB81" s="412"/>
      <c r="AC81" s="412"/>
      <c r="AD81" s="412"/>
      <c r="AE81" s="412"/>
      <c r="AF81" s="412"/>
      <c r="AG81" s="412"/>
      <c r="AH81" s="412"/>
      <c r="AI81" s="412"/>
      <c r="AJ81" s="412"/>
      <c r="AK81" s="412"/>
      <c r="AL81" s="412"/>
      <c r="AM81" s="412"/>
      <c r="AN81" s="412"/>
      <c r="AO81" s="412"/>
      <c r="AP81" s="412"/>
      <c r="AQ81" s="412"/>
      <c r="AR81" s="412"/>
      <c r="AS81" s="412"/>
      <c r="AT81" s="412"/>
      <c r="AU81" s="412"/>
      <c r="AV81" s="412"/>
      <c r="AW81" s="412"/>
      <c r="AX81" s="412"/>
      <c r="AY81" s="412"/>
      <c r="AZ81" s="412"/>
      <c r="BA81" s="412"/>
      <c r="BB81" s="412"/>
    </row>
    <row r="82" spans="26:54" s="2" customFormat="1" ht="30" customHeight="1">
      <c r="Z82" s="412"/>
      <c r="AA82" s="412"/>
      <c r="AB82" s="412"/>
      <c r="AC82" s="412"/>
      <c r="AD82" s="412"/>
      <c r="AE82" s="412"/>
      <c r="AF82" s="412"/>
      <c r="AG82" s="412"/>
      <c r="AH82" s="412"/>
      <c r="AI82" s="412"/>
      <c r="AJ82" s="412"/>
      <c r="AK82" s="412"/>
      <c r="AL82" s="412"/>
      <c r="AM82" s="412"/>
      <c r="AN82" s="412"/>
      <c r="AO82" s="412"/>
      <c r="AP82" s="412"/>
      <c r="AQ82" s="412"/>
      <c r="AR82" s="412"/>
      <c r="AS82" s="412"/>
      <c r="AT82" s="412"/>
      <c r="AU82" s="412"/>
      <c r="AV82" s="412"/>
      <c r="AW82" s="412"/>
      <c r="AX82" s="412"/>
      <c r="AY82" s="412"/>
      <c r="AZ82" s="412"/>
      <c r="BA82" s="412"/>
      <c r="BB82" s="412"/>
    </row>
    <row r="83" spans="26:54" s="2" customFormat="1" ht="30" customHeight="1">
      <c r="Z83" s="412"/>
      <c r="AA83" s="412"/>
      <c r="AB83" s="412"/>
      <c r="AC83" s="412"/>
      <c r="AD83" s="412"/>
      <c r="AE83" s="412"/>
      <c r="AF83" s="412"/>
      <c r="AG83" s="412"/>
      <c r="AH83" s="412"/>
      <c r="AI83" s="412"/>
      <c r="AJ83" s="412"/>
      <c r="AK83" s="412"/>
      <c r="AL83" s="412"/>
      <c r="AM83" s="412"/>
      <c r="AN83" s="412"/>
      <c r="AO83" s="412"/>
      <c r="AP83" s="412"/>
      <c r="AQ83" s="412"/>
      <c r="AR83" s="412"/>
      <c r="AS83" s="412"/>
      <c r="AT83" s="412"/>
      <c r="AU83" s="412"/>
      <c r="AV83" s="412"/>
      <c r="AW83" s="412"/>
      <c r="AX83" s="412"/>
      <c r="AY83" s="412"/>
      <c r="AZ83" s="412"/>
      <c r="BA83" s="412"/>
      <c r="BB83" s="412"/>
    </row>
    <row r="84" spans="26:54" s="2" customFormat="1" ht="30" customHeight="1">
      <c r="Z84" s="412"/>
      <c r="AA84" s="412"/>
      <c r="AB84" s="412"/>
      <c r="AC84" s="412"/>
      <c r="AD84" s="412"/>
      <c r="AE84" s="412"/>
      <c r="AF84" s="412"/>
      <c r="AG84" s="412"/>
      <c r="AH84" s="412"/>
      <c r="AI84" s="412"/>
      <c r="AJ84" s="412"/>
      <c r="AK84" s="412"/>
      <c r="AL84" s="412"/>
      <c r="AM84" s="412"/>
      <c r="AN84" s="412"/>
      <c r="AO84" s="412"/>
      <c r="AP84" s="412"/>
      <c r="AQ84" s="412"/>
      <c r="AR84" s="412"/>
      <c r="AS84" s="412"/>
      <c r="AT84" s="412"/>
      <c r="AU84" s="412"/>
      <c r="AV84" s="412"/>
      <c r="AW84" s="412"/>
      <c r="AX84" s="412"/>
      <c r="AY84" s="412"/>
      <c r="AZ84" s="412"/>
      <c r="BA84" s="412"/>
      <c r="BB84" s="412"/>
    </row>
    <row r="85" spans="26:54" s="2" customFormat="1" ht="30" customHeight="1">
      <c r="Z85" s="412"/>
      <c r="AA85" s="412"/>
      <c r="AB85" s="412"/>
      <c r="AC85" s="412"/>
      <c r="AD85" s="412"/>
      <c r="AE85" s="412"/>
      <c r="AF85" s="412"/>
      <c r="AG85" s="412"/>
      <c r="AH85" s="412"/>
      <c r="AI85" s="412"/>
      <c r="AJ85" s="412"/>
      <c r="AK85" s="412"/>
      <c r="AL85" s="412"/>
      <c r="AM85" s="412"/>
      <c r="AN85" s="412"/>
      <c r="AO85" s="412"/>
      <c r="AP85" s="412"/>
      <c r="AQ85" s="412"/>
      <c r="AR85" s="412"/>
      <c r="AS85" s="412"/>
      <c r="AT85" s="412"/>
      <c r="AU85" s="412"/>
      <c r="AV85" s="412"/>
      <c r="AW85" s="412"/>
      <c r="AX85" s="412"/>
      <c r="AY85" s="412"/>
      <c r="AZ85" s="412"/>
      <c r="BA85" s="412"/>
      <c r="BB85" s="412"/>
    </row>
    <row r="86" spans="26:54" s="2" customFormat="1" ht="30" customHeight="1">
      <c r="Z86" s="412"/>
      <c r="AA86" s="412"/>
      <c r="AB86" s="412"/>
      <c r="AC86" s="412"/>
      <c r="AD86" s="412"/>
      <c r="AE86" s="412"/>
      <c r="AF86" s="412"/>
      <c r="AG86" s="412"/>
      <c r="AH86" s="412"/>
      <c r="AI86" s="412"/>
      <c r="AJ86" s="412"/>
      <c r="AK86" s="412"/>
      <c r="AL86" s="412"/>
      <c r="AM86" s="412"/>
      <c r="AN86" s="412"/>
      <c r="AO86" s="412"/>
      <c r="AP86" s="412"/>
      <c r="AQ86" s="412"/>
      <c r="AR86" s="412"/>
      <c r="AS86" s="412"/>
      <c r="AT86" s="412"/>
      <c r="AU86" s="412"/>
      <c r="AV86" s="412"/>
      <c r="AW86" s="412"/>
      <c r="AX86" s="412"/>
      <c r="AY86" s="412"/>
      <c r="AZ86" s="412"/>
      <c r="BA86" s="412"/>
      <c r="BB86" s="412"/>
    </row>
    <row r="87" spans="26:54" s="2" customFormat="1" ht="30" customHeight="1">
      <c r="Z87" s="412"/>
      <c r="AA87" s="412"/>
      <c r="AB87" s="412"/>
      <c r="AC87" s="412"/>
      <c r="AD87" s="412"/>
      <c r="AE87" s="412"/>
      <c r="AF87" s="412"/>
      <c r="AG87" s="412"/>
      <c r="AH87" s="412"/>
      <c r="AI87" s="412"/>
      <c r="AJ87" s="412"/>
      <c r="AK87" s="412"/>
      <c r="AL87" s="412"/>
      <c r="AM87" s="412"/>
      <c r="AN87" s="412"/>
      <c r="AO87" s="412"/>
      <c r="AP87" s="412"/>
      <c r="AQ87" s="412"/>
      <c r="AR87" s="412"/>
      <c r="AS87" s="412"/>
      <c r="AT87" s="412"/>
      <c r="AU87" s="412"/>
      <c r="AV87" s="412"/>
      <c r="AW87" s="412"/>
      <c r="AX87" s="412"/>
      <c r="AY87" s="412"/>
      <c r="AZ87" s="412"/>
      <c r="BA87" s="412"/>
      <c r="BB87" s="412"/>
    </row>
    <row r="88" spans="26:54" s="2" customFormat="1" ht="30" customHeight="1">
      <c r="Z88" s="412"/>
      <c r="AA88" s="412"/>
      <c r="AB88" s="412"/>
      <c r="AC88" s="412"/>
      <c r="AD88" s="412"/>
      <c r="AE88" s="412"/>
      <c r="AF88" s="412"/>
      <c r="AG88" s="412"/>
      <c r="AH88" s="412"/>
      <c r="AI88" s="412"/>
      <c r="AJ88" s="412"/>
      <c r="AK88" s="412"/>
      <c r="AL88" s="412"/>
      <c r="AM88" s="412"/>
      <c r="AN88" s="412"/>
      <c r="AO88" s="412"/>
      <c r="AP88" s="412"/>
      <c r="AQ88" s="412"/>
      <c r="AR88" s="412"/>
      <c r="AS88" s="412"/>
      <c r="AT88" s="412"/>
      <c r="AU88" s="412"/>
      <c r="AV88" s="412"/>
      <c r="AW88" s="412"/>
      <c r="AX88" s="412"/>
      <c r="AY88" s="412"/>
      <c r="AZ88" s="412"/>
      <c r="BA88" s="412"/>
      <c r="BB88" s="412"/>
    </row>
    <row r="89" spans="26:54" s="2" customFormat="1" ht="30" customHeight="1">
      <c r="Z89" s="412"/>
      <c r="AA89" s="412"/>
      <c r="AB89" s="412"/>
      <c r="AC89" s="412"/>
      <c r="AD89" s="412"/>
      <c r="AE89" s="412"/>
      <c r="AF89" s="412"/>
      <c r="AG89" s="412"/>
      <c r="AH89" s="412"/>
      <c r="AI89" s="412"/>
      <c r="AJ89" s="412"/>
      <c r="AK89" s="412"/>
      <c r="AL89" s="412"/>
      <c r="AM89" s="412"/>
      <c r="AN89" s="412"/>
      <c r="AO89" s="412"/>
      <c r="AP89" s="412"/>
      <c r="AQ89" s="412"/>
      <c r="AR89" s="412"/>
      <c r="AS89" s="412"/>
      <c r="AT89" s="412"/>
      <c r="AU89" s="412"/>
      <c r="AV89" s="412"/>
      <c r="AW89" s="412"/>
      <c r="AX89" s="412"/>
      <c r="AY89" s="412"/>
      <c r="AZ89" s="412"/>
      <c r="BA89" s="412"/>
      <c r="BB89" s="412"/>
    </row>
    <row r="90" spans="26:54" s="2" customFormat="1" ht="30" customHeight="1">
      <c r="Z90" s="412"/>
      <c r="AA90" s="412"/>
      <c r="AB90" s="412"/>
      <c r="AC90" s="412"/>
      <c r="AD90" s="412"/>
      <c r="AE90" s="412"/>
      <c r="AF90" s="412"/>
      <c r="AG90" s="412"/>
      <c r="AH90" s="412"/>
      <c r="AI90" s="412"/>
      <c r="AJ90" s="412"/>
      <c r="AK90" s="412"/>
      <c r="AL90" s="412"/>
      <c r="AM90" s="412"/>
      <c r="AN90" s="412"/>
      <c r="AO90" s="412"/>
      <c r="AP90" s="412"/>
      <c r="AQ90" s="412"/>
      <c r="AR90" s="412"/>
      <c r="AS90" s="412"/>
      <c r="AT90" s="412"/>
      <c r="AU90" s="412"/>
      <c r="AV90" s="412"/>
      <c r="AW90" s="412"/>
      <c r="AX90" s="412"/>
      <c r="AY90" s="412"/>
      <c r="AZ90" s="412"/>
      <c r="BA90" s="412"/>
      <c r="BB90" s="412"/>
    </row>
    <row r="91" spans="26:54" s="2" customFormat="1" ht="30" customHeight="1">
      <c r="Z91" s="412"/>
      <c r="AA91" s="412"/>
      <c r="AB91" s="412"/>
      <c r="AC91" s="412"/>
      <c r="AD91" s="412"/>
      <c r="AE91" s="412"/>
      <c r="AF91" s="412"/>
      <c r="AG91" s="412"/>
      <c r="AH91" s="412"/>
      <c r="AI91" s="412"/>
      <c r="AJ91" s="412"/>
      <c r="AK91" s="412"/>
      <c r="AL91" s="412"/>
      <c r="AM91" s="412"/>
      <c r="AN91" s="412"/>
      <c r="AO91" s="412"/>
      <c r="AP91" s="412"/>
      <c r="AQ91" s="412"/>
      <c r="AR91" s="412"/>
      <c r="AS91" s="412"/>
      <c r="AT91" s="412"/>
      <c r="AU91" s="412"/>
      <c r="AV91" s="412"/>
      <c r="AW91" s="412"/>
      <c r="AX91" s="412"/>
      <c r="AY91" s="412"/>
      <c r="AZ91" s="412"/>
      <c r="BA91" s="412"/>
      <c r="BB91" s="412"/>
    </row>
    <row r="92" spans="26:54" s="2" customFormat="1" ht="30" customHeight="1">
      <c r="Z92" s="412"/>
      <c r="AA92" s="412"/>
      <c r="AB92" s="412"/>
      <c r="AC92" s="412"/>
      <c r="AD92" s="412"/>
      <c r="AE92" s="412"/>
      <c r="AF92" s="412"/>
      <c r="AG92" s="412"/>
      <c r="AH92" s="412"/>
      <c r="AI92" s="412"/>
      <c r="AJ92" s="412"/>
      <c r="AK92" s="412"/>
      <c r="AL92" s="412"/>
      <c r="AM92" s="412"/>
      <c r="AN92" s="412"/>
      <c r="AO92" s="412"/>
      <c r="AP92" s="412"/>
      <c r="AQ92" s="412"/>
      <c r="AR92" s="412"/>
      <c r="AS92" s="412"/>
      <c r="AT92" s="412"/>
      <c r="AU92" s="412"/>
      <c r="AV92" s="412"/>
      <c r="AW92" s="412"/>
      <c r="AX92" s="412"/>
      <c r="AY92" s="412"/>
      <c r="AZ92" s="412"/>
      <c r="BA92" s="412"/>
      <c r="BB92" s="412"/>
    </row>
    <row r="93" spans="26:54" s="2" customFormat="1" ht="30" customHeight="1">
      <c r="Z93" s="412"/>
      <c r="AA93" s="412"/>
      <c r="AB93" s="412"/>
      <c r="AC93" s="412"/>
      <c r="AD93" s="412"/>
      <c r="AE93" s="412"/>
      <c r="AF93" s="412"/>
      <c r="AG93" s="412"/>
      <c r="AH93" s="412"/>
      <c r="AI93" s="412"/>
      <c r="AJ93" s="412"/>
      <c r="AK93" s="412"/>
      <c r="AL93" s="412"/>
      <c r="AM93" s="412"/>
      <c r="AN93" s="412"/>
      <c r="AO93" s="412"/>
      <c r="AP93" s="412"/>
      <c r="AQ93" s="412"/>
      <c r="AR93" s="412"/>
      <c r="AS93" s="412"/>
      <c r="AT93" s="412"/>
      <c r="AU93" s="412"/>
      <c r="AV93" s="412"/>
      <c r="AW93" s="412"/>
      <c r="AX93" s="412"/>
      <c r="AY93" s="412"/>
      <c r="AZ93" s="412"/>
      <c r="BA93" s="412"/>
      <c r="BB93" s="412"/>
    </row>
    <row r="94" spans="26:54" s="2" customFormat="1" ht="30" customHeight="1">
      <c r="Z94" s="412"/>
      <c r="AA94" s="412"/>
      <c r="AB94" s="412"/>
      <c r="AC94" s="412"/>
      <c r="AD94" s="412"/>
      <c r="AE94" s="412"/>
      <c r="AF94" s="412"/>
      <c r="AG94" s="412"/>
      <c r="AH94" s="412"/>
      <c r="AI94" s="412"/>
      <c r="AJ94" s="412"/>
      <c r="AK94" s="412"/>
      <c r="AL94" s="412"/>
      <c r="AM94" s="412"/>
      <c r="AN94" s="412"/>
      <c r="AO94" s="412"/>
      <c r="AP94" s="412"/>
      <c r="AQ94" s="412"/>
      <c r="AR94" s="412"/>
      <c r="AS94" s="412"/>
      <c r="AT94" s="412"/>
      <c r="AU94" s="412"/>
      <c r="AV94" s="412"/>
      <c r="AW94" s="412"/>
      <c r="AX94" s="412"/>
      <c r="AY94" s="412"/>
      <c r="AZ94" s="412"/>
      <c r="BA94" s="412"/>
      <c r="BB94" s="412"/>
    </row>
    <row r="95" spans="26:54" s="2" customFormat="1" ht="30" customHeight="1">
      <c r="Z95" s="412"/>
      <c r="AA95" s="412"/>
      <c r="AB95" s="412"/>
      <c r="AC95" s="412"/>
      <c r="AD95" s="412"/>
      <c r="AE95" s="412"/>
      <c r="AF95" s="412"/>
      <c r="AG95" s="412"/>
      <c r="AH95" s="412"/>
      <c r="AI95" s="412"/>
      <c r="AJ95" s="412"/>
      <c r="AK95" s="412"/>
      <c r="AL95" s="412"/>
      <c r="AM95" s="412"/>
      <c r="AN95" s="412"/>
      <c r="AO95" s="412"/>
      <c r="AP95" s="412"/>
      <c r="AQ95" s="412"/>
      <c r="AR95" s="412"/>
      <c r="AS95" s="412"/>
      <c r="AT95" s="412"/>
      <c r="AU95" s="412"/>
      <c r="AV95" s="412"/>
      <c r="AW95" s="412"/>
      <c r="AX95" s="412"/>
      <c r="AY95" s="412"/>
      <c r="AZ95" s="412"/>
      <c r="BA95" s="412"/>
      <c r="BB95" s="412"/>
    </row>
    <row r="96" spans="26:54" s="2" customFormat="1" ht="30" customHeight="1">
      <c r="Z96" s="412"/>
      <c r="AA96" s="412"/>
      <c r="AB96" s="412"/>
      <c r="AC96" s="412"/>
      <c r="AD96" s="412"/>
      <c r="AE96" s="412"/>
      <c r="AF96" s="412"/>
      <c r="AG96" s="412"/>
      <c r="AH96" s="412"/>
      <c r="AI96" s="412"/>
      <c r="AJ96" s="412"/>
      <c r="AK96" s="412"/>
      <c r="AL96" s="412"/>
      <c r="AM96" s="412"/>
      <c r="AN96" s="412"/>
      <c r="AO96" s="412"/>
      <c r="AP96" s="412"/>
      <c r="AQ96" s="412"/>
      <c r="AR96" s="412"/>
      <c r="AS96" s="412"/>
      <c r="AT96" s="412"/>
      <c r="AU96" s="412"/>
      <c r="AV96" s="412"/>
      <c r="AW96" s="412"/>
      <c r="AX96" s="412"/>
      <c r="AY96" s="412"/>
      <c r="AZ96" s="412"/>
      <c r="BA96" s="412"/>
      <c r="BB96" s="412"/>
    </row>
    <row r="97" spans="26:54" s="2" customFormat="1">
      <c r="Z97" s="412"/>
      <c r="AA97" s="412"/>
      <c r="AB97" s="412"/>
      <c r="AC97" s="412"/>
      <c r="AD97" s="412"/>
      <c r="AE97" s="412"/>
      <c r="AF97" s="412"/>
      <c r="AG97" s="412"/>
      <c r="AH97" s="412"/>
      <c r="AI97" s="412"/>
      <c r="AJ97" s="412"/>
      <c r="AK97" s="412"/>
      <c r="AL97" s="412"/>
      <c r="AM97" s="412"/>
      <c r="AN97" s="412"/>
      <c r="AO97" s="412"/>
      <c r="AP97" s="412"/>
      <c r="AQ97" s="412"/>
      <c r="AR97" s="412"/>
      <c r="AS97" s="412"/>
      <c r="AT97" s="412"/>
      <c r="AU97" s="412"/>
      <c r="AV97" s="412"/>
      <c r="AW97" s="412"/>
      <c r="AX97" s="412"/>
      <c r="AY97" s="412"/>
      <c r="AZ97" s="412"/>
      <c r="BA97" s="412"/>
      <c r="BB97" s="412"/>
    </row>
    <row r="98" spans="26:54" s="2" customFormat="1">
      <c r="Z98" s="412"/>
      <c r="AA98" s="412"/>
      <c r="AB98" s="412"/>
      <c r="AC98" s="412"/>
      <c r="AD98" s="412"/>
      <c r="AE98" s="412"/>
      <c r="AF98" s="412"/>
      <c r="AG98" s="412"/>
      <c r="AH98" s="412"/>
      <c r="AI98" s="412"/>
      <c r="AJ98" s="412"/>
      <c r="AK98" s="412"/>
      <c r="AL98" s="412"/>
      <c r="AM98" s="412"/>
      <c r="AN98" s="412"/>
      <c r="AO98" s="412"/>
      <c r="AP98" s="412"/>
      <c r="AQ98" s="412"/>
      <c r="AR98" s="412"/>
      <c r="AS98" s="412"/>
      <c r="AT98" s="412"/>
      <c r="AU98" s="412"/>
      <c r="AV98" s="412"/>
      <c r="AW98" s="412"/>
      <c r="AX98" s="412"/>
      <c r="AY98" s="412"/>
      <c r="AZ98" s="412"/>
      <c r="BA98" s="412"/>
      <c r="BB98" s="412"/>
    </row>
    <row r="99" spans="26:54" s="2" customFormat="1">
      <c r="Z99" s="412"/>
      <c r="AA99" s="412"/>
      <c r="AB99" s="412"/>
      <c r="AC99" s="412"/>
      <c r="AD99" s="412"/>
      <c r="AE99" s="412"/>
      <c r="AF99" s="412"/>
      <c r="AG99" s="412"/>
      <c r="AH99" s="412"/>
      <c r="AI99" s="412"/>
      <c r="AJ99" s="412"/>
      <c r="AK99" s="412"/>
      <c r="AL99" s="412"/>
      <c r="AM99" s="412"/>
      <c r="AN99" s="412"/>
      <c r="AO99" s="412"/>
      <c r="AP99" s="412"/>
      <c r="AQ99" s="412"/>
      <c r="AR99" s="412"/>
      <c r="AS99" s="412"/>
      <c r="AT99" s="412"/>
      <c r="AU99" s="412"/>
      <c r="AV99" s="412"/>
      <c r="AW99" s="412"/>
      <c r="AX99" s="412"/>
      <c r="AY99" s="412"/>
      <c r="AZ99" s="412"/>
      <c r="BA99" s="412"/>
      <c r="BB99" s="412"/>
    </row>
    <row r="100" spans="26:54" s="2" customFormat="1">
      <c r="Z100" s="412"/>
      <c r="AA100" s="412"/>
      <c r="AB100" s="412"/>
      <c r="AC100" s="412"/>
      <c r="AD100" s="412"/>
      <c r="AE100" s="412"/>
      <c r="AF100" s="412"/>
      <c r="AG100" s="412"/>
      <c r="AH100" s="412"/>
      <c r="AI100" s="412"/>
      <c r="AJ100" s="412"/>
      <c r="AK100" s="412"/>
      <c r="AL100" s="412"/>
      <c r="AM100" s="412"/>
      <c r="AN100" s="412"/>
      <c r="AO100" s="412"/>
      <c r="AP100" s="412"/>
      <c r="AQ100" s="412"/>
      <c r="AR100" s="412"/>
      <c r="AS100" s="412"/>
      <c r="AT100" s="412"/>
      <c r="AU100" s="412"/>
      <c r="AV100" s="412"/>
      <c r="AW100" s="412"/>
      <c r="AX100" s="412"/>
      <c r="AY100" s="412"/>
      <c r="AZ100" s="412"/>
      <c r="BA100" s="412"/>
      <c r="BB100" s="412"/>
    </row>
    <row r="101" spans="26:54" s="2" customFormat="1">
      <c r="Z101" s="412"/>
      <c r="AA101" s="412"/>
      <c r="AB101" s="412"/>
      <c r="AC101" s="412"/>
      <c r="AD101" s="412"/>
      <c r="AE101" s="412"/>
      <c r="AF101" s="412"/>
      <c r="AG101" s="412"/>
      <c r="AH101" s="412"/>
      <c r="AI101" s="412"/>
      <c r="AJ101" s="412"/>
      <c r="AK101" s="412"/>
      <c r="AL101" s="412"/>
      <c r="AM101" s="412"/>
      <c r="AN101" s="412"/>
      <c r="AO101" s="412"/>
      <c r="AP101" s="412"/>
      <c r="AQ101" s="412"/>
      <c r="AR101" s="412"/>
      <c r="AS101" s="412"/>
      <c r="AT101" s="412"/>
      <c r="AU101" s="412"/>
      <c r="AV101" s="412"/>
      <c r="AW101" s="412"/>
      <c r="AX101" s="412"/>
      <c r="AY101" s="412"/>
      <c r="AZ101" s="412"/>
      <c r="BA101" s="412"/>
      <c r="BB101" s="412"/>
    </row>
    <row r="102" spans="26:54" s="2" customFormat="1">
      <c r="Z102" s="412"/>
      <c r="AA102" s="412"/>
      <c r="AB102" s="412"/>
      <c r="AC102" s="412"/>
      <c r="AD102" s="412"/>
      <c r="AE102" s="412"/>
      <c r="AF102" s="412"/>
      <c r="AG102" s="412"/>
      <c r="AH102" s="412"/>
      <c r="AI102" s="412"/>
      <c r="AJ102" s="412"/>
      <c r="AK102" s="412"/>
      <c r="AL102" s="412"/>
      <c r="AM102" s="412"/>
      <c r="AN102" s="412"/>
      <c r="AO102" s="412"/>
      <c r="AP102" s="412"/>
      <c r="AQ102" s="412"/>
      <c r="AR102" s="412"/>
      <c r="AS102" s="412"/>
      <c r="AT102" s="412"/>
      <c r="AU102" s="412"/>
      <c r="AV102" s="412"/>
      <c r="AW102" s="412"/>
      <c r="AX102" s="412"/>
      <c r="AY102" s="412"/>
      <c r="AZ102" s="412"/>
      <c r="BA102" s="412"/>
      <c r="BB102" s="412"/>
    </row>
    <row r="103" spans="26:54" s="2" customFormat="1">
      <c r="Z103" s="412"/>
      <c r="AA103" s="412"/>
      <c r="AB103" s="412"/>
      <c r="AC103" s="412"/>
      <c r="AD103" s="412"/>
      <c r="AE103" s="412"/>
      <c r="AF103" s="412"/>
      <c r="AG103" s="412"/>
      <c r="AH103" s="412"/>
      <c r="AI103" s="412"/>
      <c r="AJ103" s="412"/>
      <c r="AK103" s="412"/>
      <c r="AL103" s="412"/>
      <c r="AM103" s="412"/>
      <c r="AN103" s="412"/>
      <c r="AO103" s="412"/>
      <c r="AP103" s="412"/>
      <c r="AQ103" s="412"/>
      <c r="AR103" s="412"/>
      <c r="AS103" s="412"/>
      <c r="AT103" s="412"/>
      <c r="AU103" s="412"/>
      <c r="AV103" s="412"/>
      <c r="AW103" s="412"/>
      <c r="AX103" s="412"/>
      <c r="AY103" s="412"/>
      <c r="AZ103" s="412"/>
      <c r="BA103" s="412"/>
      <c r="BB103" s="412"/>
    </row>
    <row r="104" spans="26:54" s="2" customFormat="1">
      <c r="Z104" s="412"/>
      <c r="AA104" s="412"/>
      <c r="AB104" s="412"/>
      <c r="AC104" s="412"/>
      <c r="AD104" s="412"/>
      <c r="AE104" s="412"/>
      <c r="AF104" s="412"/>
      <c r="AG104" s="412"/>
      <c r="AH104" s="412"/>
      <c r="AI104" s="412"/>
      <c r="AJ104" s="412"/>
      <c r="AK104" s="412"/>
      <c r="AL104" s="412"/>
      <c r="AM104" s="412"/>
      <c r="AN104" s="412"/>
      <c r="AO104" s="412"/>
      <c r="AP104" s="412"/>
      <c r="AQ104" s="412"/>
      <c r="AR104" s="412"/>
      <c r="AS104" s="412"/>
      <c r="AT104" s="412"/>
      <c r="AU104" s="412"/>
      <c r="AV104" s="412"/>
      <c r="AW104" s="412"/>
      <c r="AX104" s="412"/>
      <c r="AY104" s="412"/>
      <c r="AZ104" s="412"/>
      <c r="BA104" s="412"/>
      <c r="BB104" s="412"/>
    </row>
    <row r="105" spans="26:54" s="2" customFormat="1">
      <c r="Z105" s="412"/>
      <c r="AA105" s="412"/>
      <c r="AB105" s="412"/>
      <c r="AC105" s="412"/>
      <c r="AD105" s="412"/>
      <c r="AE105" s="412"/>
      <c r="AF105" s="412"/>
      <c r="AG105" s="412"/>
      <c r="AH105" s="412"/>
      <c r="AI105" s="412"/>
      <c r="AJ105" s="412"/>
      <c r="AK105" s="412"/>
      <c r="AL105" s="412"/>
      <c r="AM105" s="412"/>
      <c r="AN105" s="412"/>
      <c r="AO105" s="412"/>
      <c r="AP105" s="412"/>
      <c r="AQ105" s="412"/>
      <c r="AR105" s="412"/>
      <c r="AS105" s="412"/>
      <c r="AT105" s="412"/>
      <c r="AU105" s="412"/>
      <c r="AV105" s="412"/>
      <c r="AW105" s="412"/>
      <c r="AX105" s="412"/>
      <c r="AY105" s="412"/>
      <c r="AZ105" s="412"/>
      <c r="BA105" s="412"/>
      <c r="BB105" s="412"/>
    </row>
    <row r="106" spans="26:54" s="2" customFormat="1">
      <c r="Z106" s="412"/>
      <c r="AA106" s="412"/>
      <c r="AB106" s="412"/>
      <c r="AC106" s="412"/>
      <c r="AD106" s="412"/>
      <c r="AE106" s="412"/>
      <c r="AF106" s="412"/>
      <c r="AG106" s="412"/>
      <c r="AH106" s="412"/>
      <c r="AI106" s="412"/>
      <c r="AJ106" s="412"/>
      <c r="AK106" s="412"/>
      <c r="AL106" s="412"/>
      <c r="AM106" s="412"/>
      <c r="AN106" s="412"/>
      <c r="AO106" s="412"/>
      <c r="AP106" s="412"/>
      <c r="AQ106" s="412"/>
      <c r="AR106" s="412"/>
      <c r="AS106" s="412"/>
      <c r="AT106" s="412"/>
      <c r="AU106" s="412"/>
      <c r="AV106" s="412"/>
      <c r="AW106" s="412"/>
      <c r="AX106" s="412"/>
      <c r="AY106" s="412"/>
      <c r="AZ106" s="412"/>
      <c r="BA106" s="412"/>
      <c r="BB106" s="412"/>
    </row>
    <row r="107" spans="26:54" s="2" customFormat="1">
      <c r="Z107" s="412"/>
      <c r="AA107" s="412"/>
      <c r="AB107" s="412"/>
      <c r="AC107" s="412"/>
      <c r="AD107" s="412"/>
      <c r="AE107" s="412"/>
      <c r="AF107" s="412"/>
      <c r="AG107" s="412"/>
      <c r="AH107" s="412"/>
      <c r="AI107" s="412"/>
      <c r="AJ107" s="412"/>
      <c r="AK107" s="412"/>
      <c r="AL107" s="412"/>
      <c r="AM107" s="412"/>
      <c r="AN107" s="412"/>
      <c r="AO107" s="412"/>
      <c r="AP107" s="412"/>
      <c r="AQ107" s="412"/>
      <c r="AR107" s="412"/>
      <c r="AS107" s="412"/>
      <c r="AT107" s="412"/>
      <c r="AU107" s="412"/>
      <c r="AV107" s="412"/>
      <c r="AW107" s="412"/>
      <c r="AX107" s="412"/>
      <c r="AY107" s="412"/>
      <c r="AZ107" s="412"/>
      <c r="BA107" s="412"/>
      <c r="BB107" s="412"/>
    </row>
    <row r="108" spans="26:54" s="2" customFormat="1">
      <c r="Z108" s="412"/>
      <c r="AA108" s="412"/>
      <c r="AB108" s="412"/>
      <c r="AC108" s="412"/>
      <c r="AD108" s="412"/>
      <c r="AE108" s="412"/>
      <c r="AF108" s="412"/>
      <c r="AG108" s="412"/>
      <c r="AH108" s="412"/>
      <c r="AI108" s="412"/>
      <c r="AJ108" s="412"/>
      <c r="AK108" s="412"/>
      <c r="AL108" s="412"/>
      <c r="AM108" s="412"/>
      <c r="AN108" s="412"/>
      <c r="AO108" s="412"/>
      <c r="AP108" s="412"/>
      <c r="AQ108" s="412"/>
      <c r="AR108" s="412"/>
      <c r="AS108" s="412"/>
      <c r="AT108" s="412"/>
      <c r="AU108" s="412"/>
      <c r="AV108" s="412"/>
      <c r="AW108" s="412"/>
      <c r="AX108" s="412"/>
      <c r="AY108" s="412"/>
      <c r="AZ108" s="412"/>
      <c r="BA108" s="412"/>
      <c r="BB108" s="412"/>
    </row>
    <row r="109" spans="26:54" s="2" customFormat="1">
      <c r="Z109" s="412"/>
      <c r="AA109" s="412"/>
      <c r="AB109" s="412"/>
      <c r="AC109" s="412"/>
      <c r="AD109" s="412"/>
      <c r="AE109" s="412"/>
      <c r="AF109" s="412"/>
      <c r="AG109" s="412"/>
      <c r="AH109" s="412"/>
      <c r="AI109" s="412"/>
      <c r="AJ109" s="412"/>
      <c r="AK109" s="412"/>
      <c r="AL109" s="412"/>
      <c r="AM109" s="412"/>
      <c r="AN109" s="412"/>
      <c r="AO109" s="412"/>
      <c r="AP109" s="412"/>
      <c r="AQ109" s="412"/>
      <c r="AR109" s="412"/>
      <c r="AS109" s="412"/>
      <c r="AT109" s="412"/>
      <c r="AU109" s="412"/>
      <c r="AV109" s="412"/>
      <c r="AW109" s="412"/>
      <c r="AX109" s="412"/>
      <c r="AY109" s="412"/>
      <c r="AZ109" s="412"/>
      <c r="BA109" s="412"/>
      <c r="BB109" s="412"/>
    </row>
    <row r="110" spans="26:54" s="2" customFormat="1">
      <c r="Z110" s="412"/>
      <c r="AA110" s="412"/>
      <c r="AB110" s="412"/>
      <c r="AC110" s="412"/>
      <c r="AD110" s="412"/>
      <c r="AE110" s="412"/>
      <c r="AF110" s="412"/>
      <c r="AG110" s="412"/>
      <c r="AH110" s="412"/>
      <c r="AI110" s="412"/>
      <c r="AJ110" s="412"/>
      <c r="AK110" s="412"/>
      <c r="AL110" s="412"/>
      <c r="AM110" s="412"/>
      <c r="AN110" s="412"/>
      <c r="AO110" s="412"/>
      <c r="AP110" s="412"/>
      <c r="AQ110" s="412"/>
      <c r="AR110" s="412"/>
      <c r="AS110" s="412"/>
      <c r="AT110" s="412"/>
      <c r="AU110" s="412"/>
      <c r="AV110" s="412"/>
      <c r="AW110" s="412"/>
      <c r="AX110" s="412"/>
      <c r="AY110" s="412"/>
      <c r="AZ110" s="412"/>
      <c r="BA110" s="412"/>
      <c r="BB110" s="412"/>
    </row>
    <row r="111" spans="26:54" s="2" customFormat="1">
      <c r="Z111" s="412"/>
      <c r="AA111" s="412"/>
      <c r="AB111" s="412"/>
      <c r="AC111" s="412"/>
      <c r="AD111" s="412"/>
      <c r="AE111" s="412"/>
      <c r="AF111" s="412"/>
      <c r="AG111" s="412"/>
      <c r="AH111" s="412"/>
      <c r="AI111" s="412"/>
      <c r="AJ111" s="412"/>
      <c r="AK111" s="412"/>
      <c r="AL111" s="412"/>
      <c r="AM111" s="412"/>
      <c r="AN111" s="412"/>
      <c r="AO111" s="412"/>
      <c r="AP111" s="412"/>
      <c r="AQ111" s="412"/>
      <c r="AR111" s="412"/>
      <c r="AS111" s="412"/>
      <c r="AT111" s="412"/>
      <c r="AU111" s="412"/>
      <c r="AV111" s="412"/>
      <c r="AW111" s="412"/>
      <c r="AX111" s="412"/>
      <c r="AY111" s="412"/>
      <c r="AZ111" s="412"/>
      <c r="BA111" s="412"/>
      <c r="BB111" s="412"/>
    </row>
    <row r="112" spans="26:54" s="2" customFormat="1">
      <c r="Z112" s="412"/>
      <c r="AA112" s="412"/>
      <c r="AB112" s="412"/>
      <c r="AC112" s="412"/>
      <c r="AD112" s="412"/>
      <c r="AE112" s="412"/>
      <c r="AF112" s="412"/>
      <c r="AG112" s="412"/>
      <c r="AH112" s="412"/>
      <c r="AI112" s="412"/>
      <c r="AJ112" s="412"/>
      <c r="AK112" s="412"/>
      <c r="AL112" s="412"/>
      <c r="AM112" s="412"/>
      <c r="AN112" s="412"/>
      <c r="AO112" s="412"/>
      <c r="AP112" s="412"/>
      <c r="AQ112" s="412"/>
      <c r="AR112" s="412"/>
      <c r="AS112" s="412"/>
      <c r="AT112" s="412"/>
      <c r="AU112" s="412"/>
      <c r="AV112" s="412"/>
      <c r="AW112" s="412"/>
      <c r="AX112" s="412"/>
      <c r="AY112" s="412"/>
      <c r="AZ112" s="412"/>
      <c r="BA112" s="412"/>
      <c r="BB112" s="412"/>
    </row>
    <row r="113" spans="26:54" s="2" customFormat="1">
      <c r="Z113" s="412"/>
      <c r="AA113" s="412"/>
      <c r="AB113" s="412"/>
      <c r="AC113" s="412"/>
      <c r="AD113" s="412"/>
      <c r="AE113" s="412"/>
      <c r="AF113" s="412"/>
      <c r="AG113" s="412"/>
      <c r="AH113" s="412"/>
      <c r="AI113" s="412"/>
      <c r="AJ113" s="412"/>
      <c r="AK113" s="412"/>
      <c r="AL113" s="412"/>
      <c r="AM113" s="412"/>
      <c r="AN113" s="412"/>
      <c r="AO113" s="412"/>
      <c r="AP113" s="412"/>
      <c r="AQ113" s="412"/>
      <c r="AR113" s="412"/>
      <c r="AS113" s="412"/>
      <c r="AT113" s="412"/>
      <c r="AU113" s="412"/>
      <c r="AV113" s="412"/>
      <c r="AW113" s="412"/>
      <c r="AX113" s="412"/>
      <c r="AY113" s="412"/>
      <c r="AZ113" s="412"/>
      <c r="BA113" s="412"/>
      <c r="BB113" s="412"/>
    </row>
    <row r="114" spans="26:54" s="2" customFormat="1">
      <c r="Z114" s="412"/>
      <c r="AA114" s="412"/>
      <c r="AB114" s="412"/>
      <c r="AC114" s="412"/>
      <c r="AD114" s="412"/>
      <c r="AE114" s="412"/>
      <c r="AF114" s="412"/>
      <c r="AG114" s="412"/>
      <c r="AH114" s="412"/>
      <c r="AI114" s="412"/>
      <c r="AJ114" s="412"/>
      <c r="AK114" s="412"/>
      <c r="AL114" s="412"/>
      <c r="AM114" s="412"/>
      <c r="AN114" s="412"/>
      <c r="AO114" s="412"/>
      <c r="AP114" s="412"/>
      <c r="AQ114" s="412"/>
      <c r="AR114" s="412"/>
      <c r="AS114" s="412"/>
      <c r="AT114" s="412"/>
      <c r="AU114" s="412"/>
      <c r="AV114" s="412"/>
      <c r="AW114" s="412"/>
      <c r="AX114" s="412"/>
      <c r="AY114" s="412"/>
      <c r="AZ114" s="412"/>
      <c r="BA114" s="412"/>
      <c r="BB114" s="412"/>
    </row>
    <row r="115" spans="26:54" s="2" customFormat="1">
      <c r="Z115" s="412"/>
      <c r="AA115" s="412"/>
      <c r="AB115" s="412"/>
      <c r="AC115" s="412"/>
      <c r="AD115" s="412"/>
      <c r="AE115" s="412"/>
      <c r="AF115" s="412"/>
      <c r="AG115" s="412"/>
      <c r="AH115" s="412"/>
      <c r="AI115" s="412"/>
      <c r="AJ115" s="412"/>
      <c r="AK115" s="412"/>
      <c r="AL115" s="412"/>
      <c r="AM115" s="412"/>
      <c r="AN115" s="412"/>
      <c r="AO115" s="412"/>
      <c r="AP115" s="412"/>
      <c r="AQ115" s="412"/>
      <c r="AR115" s="412"/>
      <c r="AS115" s="412"/>
      <c r="AT115" s="412"/>
      <c r="AU115" s="412"/>
      <c r="AV115" s="412"/>
      <c r="AW115" s="412"/>
      <c r="AX115" s="412"/>
      <c r="AY115" s="412"/>
      <c r="AZ115" s="412"/>
      <c r="BA115" s="412"/>
      <c r="BB115" s="412"/>
    </row>
    <row r="116" spans="26:54" s="2" customFormat="1">
      <c r="Z116" s="412"/>
      <c r="AA116" s="412"/>
      <c r="AB116" s="412"/>
      <c r="AC116" s="412"/>
      <c r="AD116" s="412"/>
      <c r="AE116" s="412"/>
      <c r="AF116" s="412"/>
      <c r="AG116" s="412"/>
      <c r="AH116" s="412"/>
      <c r="AI116" s="412"/>
      <c r="AJ116" s="412"/>
      <c r="AK116" s="412"/>
      <c r="AL116" s="412"/>
      <c r="AM116" s="412"/>
      <c r="AN116" s="412"/>
      <c r="AO116" s="412"/>
      <c r="AP116" s="412"/>
      <c r="AQ116" s="412"/>
      <c r="AR116" s="412"/>
      <c r="AS116" s="412"/>
      <c r="AT116" s="412"/>
      <c r="AU116" s="412"/>
      <c r="AV116" s="412"/>
      <c r="AW116" s="412"/>
      <c r="AX116" s="412"/>
      <c r="AY116" s="412"/>
      <c r="AZ116" s="412"/>
      <c r="BA116" s="412"/>
      <c r="BB116" s="412"/>
    </row>
    <row r="117" spans="26:54" s="2" customFormat="1">
      <c r="Z117" s="412"/>
      <c r="AA117" s="412"/>
      <c r="AB117" s="412"/>
      <c r="AC117" s="412"/>
      <c r="AD117" s="412"/>
      <c r="AE117" s="412"/>
      <c r="AF117" s="412"/>
      <c r="AG117" s="412"/>
      <c r="AH117" s="412"/>
      <c r="AI117" s="412"/>
      <c r="AJ117" s="412"/>
      <c r="AK117" s="412"/>
      <c r="AL117" s="412"/>
      <c r="AM117" s="412"/>
      <c r="AN117" s="412"/>
      <c r="AO117" s="412"/>
      <c r="AP117" s="412"/>
      <c r="AQ117" s="412"/>
      <c r="AR117" s="412"/>
      <c r="AS117" s="412"/>
      <c r="AT117" s="412"/>
      <c r="AU117" s="412"/>
      <c r="AV117" s="412"/>
      <c r="AW117" s="412"/>
      <c r="AX117" s="412"/>
      <c r="AY117" s="412"/>
      <c r="AZ117" s="412"/>
      <c r="BA117" s="412"/>
      <c r="BB117" s="412"/>
    </row>
    <row r="118" spans="26:54" s="2" customFormat="1">
      <c r="Z118" s="412"/>
      <c r="AA118" s="412"/>
      <c r="AB118" s="412"/>
      <c r="AC118" s="412"/>
      <c r="AD118" s="412"/>
      <c r="AE118" s="412"/>
      <c r="AF118" s="412"/>
      <c r="AG118" s="412"/>
      <c r="AH118" s="412"/>
      <c r="AI118" s="412"/>
      <c r="AJ118" s="412"/>
      <c r="AK118" s="412"/>
      <c r="AL118" s="412"/>
      <c r="AM118" s="412"/>
      <c r="AN118" s="412"/>
      <c r="AO118" s="412"/>
      <c r="AP118" s="412"/>
      <c r="AQ118" s="412"/>
      <c r="AR118" s="412"/>
      <c r="AS118" s="412"/>
      <c r="AT118" s="412"/>
      <c r="AU118" s="412"/>
      <c r="AV118" s="412"/>
      <c r="AW118" s="412"/>
      <c r="AX118" s="412"/>
      <c r="AY118" s="412"/>
      <c r="AZ118" s="412"/>
      <c r="BA118" s="412"/>
      <c r="BB118" s="412"/>
    </row>
    <row r="119" spans="26:54" s="2" customFormat="1">
      <c r="Z119" s="412"/>
      <c r="AA119" s="412"/>
      <c r="AB119" s="412"/>
      <c r="AC119" s="412"/>
      <c r="AD119" s="412"/>
      <c r="AE119" s="412"/>
      <c r="AF119" s="412"/>
      <c r="AG119" s="412"/>
      <c r="AH119" s="412"/>
      <c r="AI119" s="412"/>
      <c r="AJ119" s="412"/>
      <c r="AK119" s="412"/>
      <c r="AL119" s="412"/>
      <c r="AM119" s="412"/>
      <c r="AN119" s="412"/>
      <c r="AO119" s="412"/>
      <c r="AP119" s="412"/>
      <c r="AQ119" s="412"/>
      <c r="AR119" s="412"/>
      <c r="AS119" s="412"/>
      <c r="AT119" s="412"/>
      <c r="AU119" s="412"/>
      <c r="AV119" s="412"/>
      <c r="AW119" s="412"/>
      <c r="AX119" s="412"/>
      <c r="AY119" s="412"/>
      <c r="AZ119" s="412"/>
      <c r="BA119" s="412"/>
      <c r="BB119" s="412"/>
    </row>
    <row r="120" spans="26:54" s="2" customFormat="1">
      <c r="Z120" s="412"/>
      <c r="AA120" s="412"/>
      <c r="AB120" s="412"/>
      <c r="AC120" s="412"/>
      <c r="AD120" s="412"/>
      <c r="AE120" s="412"/>
      <c r="AF120" s="412"/>
      <c r="AG120" s="412"/>
      <c r="AH120" s="412"/>
      <c r="AI120" s="412"/>
      <c r="AJ120" s="412"/>
      <c r="AK120" s="412"/>
      <c r="AL120" s="412"/>
      <c r="AM120" s="412"/>
      <c r="AN120" s="412"/>
      <c r="AO120" s="412"/>
      <c r="AP120" s="412"/>
      <c r="AQ120" s="412"/>
      <c r="AR120" s="412"/>
      <c r="AS120" s="412"/>
      <c r="AT120" s="412"/>
      <c r="AU120" s="412"/>
      <c r="AV120" s="412"/>
      <c r="AW120" s="412"/>
      <c r="AX120" s="412"/>
      <c r="AY120" s="412"/>
      <c r="AZ120" s="412"/>
      <c r="BA120" s="412"/>
      <c r="BB120" s="412"/>
    </row>
    <row r="121" spans="26:54" s="2" customFormat="1">
      <c r="Z121" s="412"/>
      <c r="AA121" s="412"/>
      <c r="AB121" s="412"/>
      <c r="AC121" s="412"/>
      <c r="AD121" s="412"/>
      <c r="AE121" s="412"/>
      <c r="AF121" s="412"/>
      <c r="AG121" s="412"/>
      <c r="AH121" s="412"/>
      <c r="AI121" s="412"/>
      <c r="AJ121" s="412"/>
      <c r="AK121" s="412"/>
      <c r="AL121" s="412"/>
      <c r="AM121" s="412"/>
      <c r="AN121" s="412"/>
      <c r="AO121" s="412"/>
      <c r="AP121" s="412"/>
      <c r="AQ121" s="412"/>
      <c r="AR121" s="412"/>
      <c r="AS121" s="412"/>
      <c r="AT121" s="412"/>
      <c r="AU121" s="412"/>
      <c r="AV121" s="412"/>
      <c r="AW121" s="412"/>
      <c r="AX121" s="412"/>
      <c r="AY121" s="412"/>
      <c r="AZ121" s="412"/>
      <c r="BA121" s="412"/>
      <c r="BB121" s="412"/>
    </row>
    <row r="122" spans="26:54" s="2" customFormat="1">
      <c r="Z122" s="412"/>
      <c r="AA122" s="412"/>
      <c r="AB122" s="412"/>
      <c r="AC122" s="412"/>
      <c r="AD122" s="412"/>
      <c r="AE122" s="412"/>
      <c r="AF122" s="412"/>
      <c r="AG122" s="412"/>
      <c r="AH122" s="412"/>
      <c r="AI122" s="412"/>
      <c r="AJ122" s="412"/>
      <c r="AK122" s="412"/>
      <c r="AL122" s="412"/>
      <c r="AM122" s="412"/>
      <c r="AN122" s="412"/>
      <c r="AO122" s="412"/>
      <c r="AP122" s="412"/>
      <c r="AQ122" s="412"/>
      <c r="AR122" s="412"/>
      <c r="AS122" s="412"/>
      <c r="AT122" s="412"/>
      <c r="AU122" s="412"/>
      <c r="AV122" s="412"/>
      <c r="AW122" s="412"/>
      <c r="AX122" s="412"/>
      <c r="AY122" s="412"/>
      <c r="AZ122" s="412"/>
      <c r="BA122" s="412"/>
      <c r="BB122" s="412"/>
    </row>
    <row r="123" spans="26:54" s="2" customFormat="1">
      <c r="Z123" s="412"/>
      <c r="AA123" s="412"/>
      <c r="AB123" s="412"/>
      <c r="AC123" s="412"/>
      <c r="AD123" s="412"/>
      <c r="AE123" s="412"/>
      <c r="AF123" s="412"/>
      <c r="AG123" s="412"/>
      <c r="AH123" s="412"/>
      <c r="AI123" s="412"/>
      <c r="AJ123" s="412"/>
      <c r="AK123" s="412"/>
      <c r="AL123" s="412"/>
      <c r="AM123" s="412"/>
      <c r="AN123" s="412"/>
      <c r="AO123" s="412"/>
      <c r="AP123" s="412"/>
      <c r="AQ123" s="412"/>
      <c r="AR123" s="412"/>
      <c r="AS123" s="412"/>
      <c r="AT123" s="412"/>
      <c r="AU123" s="412"/>
      <c r="AV123" s="412"/>
      <c r="AW123" s="412"/>
      <c r="AX123" s="412"/>
      <c r="AY123" s="412"/>
      <c r="AZ123" s="412"/>
      <c r="BA123" s="412"/>
      <c r="BB123" s="412"/>
    </row>
    <row r="124" spans="26:54" s="2" customFormat="1">
      <c r="Z124" s="412"/>
      <c r="AA124" s="412"/>
      <c r="AB124" s="412"/>
      <c r="AC124" s="412"/>
      <c r="AD124" s="412"/>
      <c r="AE124" s="412"/>
      <c r="AF124" s="412"/>
      <c r="AG124" s="412"/>
      <c r="AH124" s="412"/>
      <c r="AI124" s="412"/>
      <c r="AJ124" s="412"/>
      <c r="AK124" s="412"/>
      <c r="AL124" s="412"/>
      <c r="AM124" s="412"/>
      <c r="AN124" s="412"/>
      <c r="AO124" s="412"/>
      <c r="AP124" s="412"/>
      <c r="AQ124" s="412"/>
      <c r="AR124" s="412"/>
      <c r="AS124" s="412"/>
      <c r="AT124" s="412"/>
      <c r="AU124" s="412"/>
      <c r="AV124" s="412"/>
      <c r="AW124" s="412"/>
      <c r="AX124" s="412"/>
      <c r="AY124" s="412"/>
      <c r="AZ124" s="412"/>
      <c r="BA124" s="412"/>
      <c r="BB124" s="412"/>
    </row>
    <row r="125" spans="26:54" s="2" customFormat="1">
      <c r="Z125" s="412"/>
      <c r="AA125" s="412"/>
      <c r="AB125" s="412"/>
      <c r="AC125" s="412"/>
      <c r="AD125" s="412"/>
      <c r="AE125" s="412"/>
      <c r="AF125" s="412"/>
      <c r="AG125" s="412"/>
      <c r="AH125" s="412"/>
      <c r="AI125" s="412"/>
      <c r="AJ125" s="412"/>
      <c r="AK125" s="412"/>
      <c r="AL125" s="412"/>
      <c r="AM125" s="412"/>
      <c r="AN125" s="412"/>
      <c r="AO125" s="412"/>
      <c r="AP125" s="412"/>
      <c r="AQ125" s="412"/>
      <c r="AR125" s="412"/>
      <c r="AS125" s="412"/>
      <c r="AT125" s="412"/>
      <c r="AU125" s="412"/>
      <c r="AV125" s="412"/>
      <c r="AW125" s="412"/>
      <c r="AX125" s="412"/>
      <c r="AY125" s="412"/>
      <c r="AZ125" s="412"/>
      <c r="BA125" s="412"/>
      <c r="BB125" s="412"/>
    </row>
    <row r="126" spans="26:54" s="2" customFormat="1">
      <c r="Z126" s="412"/>
      <c r="AA126" s="412"/>
      <c r="AB126" s="412"/>
      <c r="AC126" s="412"/>
      <c r="AD126" s="412"/>
      <c r="AE126" s="412"/>
      <c r="AF126" s="412"/>
      <c r="AG126" s="412"/>
      <c r="AH126" s="412"/>
      <c r="AI126" s="412"/>
      <c r="AJ126" s="412"/>
      <c r="AK126" s="412"/>
      <c r="AL126" s="412"/>
      <c r="AM126" s="412"/>
      <c r="AN126" s="412"/>
      <c r="AO126" s="412"/>
      <c r="AP126" s="412"/>
      <c r="AQ126" s="412"/>
      <c r="AR126" s="412"/>
      <c r="AS126" s="412"/>
      <c r="AT126" s="412"/>
      <c r="AU126" s="412"/>
      <c r="AV126" s="412"/>
      <c r="AW126" s="412"/>
      <c r="AX126" s="412"/>
      <c r="AY126" s="412"/>
      <c r="AZ126" s="412"/>
      <c r="BA126" s="412"/>
      <c r="BB126" s="412"/>
    </row>
    <row r="127" spans="26:54" s="2" customFormat="1">
      <c r="Z127" s="412"/>
      <c r="AA127" s="412"/>
      <c r="AB127" s="412"/>
      <c r="AC127" s="412"/>
      <c r="AD127" s="412"/>
      <c r="AE127" s="412"/>
      <c r="AF127" s="412"/>
      <c r="AG127" s="412"/>
      <c r="AH127" s="412"/>
      <c r="AI127" s="412"/>
      <c r="AJ127" s="412"/>
      <c r="AK127" s="412"/>
      <c r="AL127" s="412"/>
      <c r="AM127" s="412"/>
      <c r="AN127" s="412"/>
      <c r="AO127" s="412"/>
      <c r="AP127" s="412"/>
      <c r="AQ127" s="412"/>
      <c r="AR127" s="412"/>
      <c r="AS127" s="412"/>
      <c r="AT127" s="412"/>
      <c r="AU127" s="412"/>
      <c r="AV127" s="412"/>
      <c r="AW127" s="412"/>
      <c r="AX127" s="412"/>
      <c r="AY127" s="412"/>
      <c r="AZ127" s="412"/>
      <c r="BA127" s="412"/>
      <c r="BB127" s="412"/>
    </row>
    <row r="128" spans="26:54" s="2" customFormat="1">
      <c r="Z128" s="412"/>
      <c r="AA128" s="412"/>
      <c r="AB128" s="412"/>
      <c r="AC128" s="412"/>
      <c r="AD128" s="412"/>
      <c r="AE128" s="412"/>
      <c r="AF128" s="412"/>
      <c r="AG128" s="412"/>
      <c r="AH128" s="412"/>
      <c r="AI128" s="412"/>
      <c r="AJ128" s="412"/>
      <c r="AK128" s="412"/>
      <c r="AL128" s="412"/>
      <c r="AM128" s="412"/>
      <c r="AN128" s="412"/>
      <c r="AO128" s="412"/>
      <c r="AP128" s="412"/>
      <c r="AQ128" s="412"/>
      <c r="AR128" s="412"/>
      <c r="AS128" s="412"/>
      <c r="AT128" s="412"/>
      <c r="AU128" s="412"/>
      <c r="AV128" s="412"/>
      <c r="AW128" s="412"/>
      <c r="AX128" s="412"/>
      <c r="AY128" s="412"/>
      <c r="AZ128" s="412"/>
      <c r="BA128" s="412"/>
      <c r="BB128" s="412"/>
    </row>
    <row r="129" spans="26:54" s="2" customFormat="1">
      <c r="Z129" s="412"/>
      <c r="AA129" s="412"/>
      <c r="AB129" s="412"/>
      <c r="AC129" s="412"/>
      <c r="AD129" s="412"/>
      <c r="AE129" s="412"/>
      <c r="AF129" s="412"/>
      <c r="AG129" s="412"/>
      <c r="AH129" s="412"/>
      <c r="AI129" s="412"/>
      <c r="AJ129" s="412"/>
      <c r="AK129" s="412"/>
      <c r="AL129" s="412"/>
      <c r="AM129" s="412"/>
      <c r="AN129" s="412"/>
      <c r="AO129" s="412"/>
      <c r="AP129" s="412"/>
      <c r="AQ129" s="412"/>
      <c r="AR129" s="412"/>
      <c r="AS129" s="412"/>
      <c r="AT129" s="412"/>
      <c r="AU129" s="412"/>
      <c r="AV129" s="412"/>
      <c r="AW129" s="412"/>
      <c r="AX129" s="412"/>
      <c r="AY129" s="412"/>
      <c r="AZ129" s="412"/>
      <c r="BA129" s="412"/>
      <c r="BB129" s="412"/>
    </row>
    <row r="130" spans="26:54" s="2" customFormat="1">
      <c r="Z130" s="412"/>
      <c r="AA130" s="412"/>
      <c r="AB130" s="412"/>
      <c r="AC130" s="412"/>
      <c r="AD130" s="412"/>
      <c r="AE130" s="412"/>
      <c r="AF130" s="412"/>
      <c r="AG130" s="412"/>
      <c r="AH130" s="412"/>
      <c r="AI130" s="412"/>
      <c r="AJ130" s="412"/>
      <c r="AK130" s="412"/>
      <c r="AL130" s="412"/>
      <c r="AM130" s="412"/>
      <c r="AN130" s="412"/>
      <c r="AO130" s="412"/>
      <c r="AP130" s="412"/>
      <c r="AQ130" s="412"/>
      <c r="AR130" s="412"/>
      <c r="AS130" s="412"/>
      <c r="AT130" s="412"/>
      <c r="AU130" s="412"/>
      <c r="AV130" s="412"/>
      <c r="AW130" s="412"/>
      <c r="AX130" s="412"/>
      <c r="AY130" s="412"/>
      <c r="AZ130" s="412"/>
      <c r="BA130" s="412"/>
      <c r="BB130" s="412"/>
    </row>
    <row r="131" spans="26:54" s="2" customFormat="1">
      <c r="Z131" s="412"/>
      <c r="AA131" s="412"/>
      <c r="AB131" s="412"/>
      <c r="AC131" s="412"/>
      <c r="AD131" s="412"/>
      <c r="AE131" s="412"/>
      <c r="AF131" s="412"/>
      <c r="AG131" s="412"/>
      <c r="AH131" s="412"/>
      <c r="AI131" s="412"/>
      <c r="AJ131" s="412"/>
      <c r="AK131" s="412"/>
      <c r="AL131" s="412"/>
      <c r="AM131" s="412"/>
      <c r="AN131" s="412"/>
      <c r="AO131" s="412"/>
      <c r="AP131" s="412"/>
      <c r="AQ131" s="412"/>
      <c r="AR131" s="412"/>
      <c r="AS131" s="412"/>
      <c r="AT131" s="412"/>
      <c r="AU131" s="412"/>
      <c r="AV131" s="412"/>
      <c r="AW131" s="412"/>
      <c r="AX131" s="412"/>
      <c r="AY131" s="412"/>
      <c r="AZ131" s="412"/>
      <c r="BA131" s="412"/>
      <c r="BB131" s="412"/>
    </row>
    <row r="132" spans="26:54" s="2" customFormat="1">
      <c r="Z132" s="412"/>
      <c r="AA132" s="412"/>
      <c r="AB132" s="412"/>
      <c r="AC132" s="412"/>
      <c r="AD132" s="412"/>
      <c r="AE132" s="412"/>
      <c r="AF132" s="412"/>
      <c r="AG132" s="412"/>
      <c r="AH132" s="412"/>
      <c r="AI132" s="412"/>
      <c r="AJ132" s="412"/>
      <c r="AK132" s="412"/>
      <c r="AL132" s="412"/>
      <c r="AM132" s="412"/>
      <c r="AN132" s="412"/>
      <c r="AO132" s="412"/>
      <c r="AP132" s="412"/>
      <c r="AQ132" s="412"/>
      <c r="AR132" s="412"/>
      <c r="AS132" s="412"/>
      <c r="AT132" s="412"/>
      <c r="AU132" s="412"/>
      <c r="AV132" s="412"/>
      <c r="AW132" s="412"/>
      <c r="AX132" s="412"/>
      <c r="AY132" s="412"/>
      <c r="AZ132" s="412"/>
      <c r="BA132" s="412"/>
      <c r="BB132" s="412"/>
    </row>
    <row r="133" spans="26:54" s="2" customFormat="1">
      <c r="Z133" s="412"/>
      <c r="AA133" s="412"/>
      <c r="AB133" s="412"/>
      <c r="AC133" s="412"/>
      <c r="AD133" s="412"/>
      <c r="AE133" s="412"/>
      <c r="AF133" s="412"/>
      <c r="AG133" s="412"/>
      <c r="AH133" s="412"/>
      <c r="AI133" s="412"/>
      <c r="AJ133" s="412"/>
      <c r="AK133" s="412"/>
      <c r="AL133" s="412"/>
      <c r="AM133" s="412"/>
      <c r="AN133" s="412"/>
      <c r="AO133" s="412"/>
      <c r="AP133" s="412"/>
      <c r="AQ133" s="412"/>
      <c r="AR133" s="412"/>
      <c r="AS133" s="412"/>
      <c r="AT133" s="412"/>
      <c r="AU133" s="412"/>
      <c r="AV133" s="412"/>
      <c r="AW133" s="412"/>
      <c r="AX133" s="412"/>
      <c r="AY133" s="412"/>
      <c r="AZ133" s="412"/>
      <c r="BA133" s="412"/>
      <c r="BB133" s="412"/>
    </row>
    <row r="134" spans="26:54" s="2" customFormat="1">
      <c r="Z134" s="412"/>
      <c r="AA134" s="412"/>
      <c r="AB134" s="412"/>
      <c r="AC134" s="412"/>
      <c r="AD134" s="412"/>
      <c r="AE134" s="412"/>
      <c r="AF134" s="412"/>
      <c r="AG134" s="412"/>
      <c r="AH134" s="412"/>
      <c r="AI134" s="412"/>
      <c r="AJ134" s="412"/>
      <c r="AK134" s="412"/>
      <c r="AL134" s="412"/>
      <c r="AM134" s="412"/>
      <c r="AN134" s="412"/>
      <c r="AO134" s="412"/>
      <c r="AP134" s="412"/>
      <c r="AQ134" s="412"/>
      <c r="AR134" s="412"/>
      <c r="AS134" s="412"/>
      <c r="AT134" s="412"/>
      <c r="AU134" s="412"/>
      <c r="AV134" s="412"/>
      <c r="AW134" s="412"/>
      <c r="AX134" s="412"/>
      <c r="AY134" s="412"/>
      <c r="AZ134" s="412"/>
      <c r="BA134" s="412"/>
      <c r="BB134" s="412"/>
    </row>
    <row r="135" spans="26:54" s="2" customFormat="1">
      <c r="Z135" s="412"/>
      <c r="AA135" s="412"/>
      <c r="AB135" s="412"/>
      <c r="AC135" s="412"/>
      <c r="AD135" s="412"/>
      <c r="AE135" s="412"/>
      <c r="AF135" s="412"/>
      <c r="AG135" s="412"/>
      <c r="AH135" s="412"/>
      <c r="AI135" s="412"/>
      <c r="AJ135" s="412"/>
      <c r="AK135" s="412"/>
      <c r="AL135" s="412"/>
      <c r="AM135" s="412"/>
      <c r="AN135" s="412"/>
      <c r="AO135" s="412"/>
      <c r="AP135" s="412"/>
      <c r="AQ135" s="412"/>
      <c r="AR135" s="412"/>
      <c r="AS135" s="412"/>
      <c r="AT135" s="412"/>
      <c r="AU135" s="412"/>
      <c r="AV135" s="412"/>
      <c r="AW135" s="412"/>
      <c r="AX135" s="412"/>
      <c r="AY135" s="412"/>
      <c r="AZ135" s="412"/>
      <c r="BA135" s="412"/>
      <c r="BB135" s="412"/>
    </row>
    <row r="136" spans="26:54" s="2" customFormat="1">
      <c r="Z136" s="412"/>
      <c r="AA136" s="412"/>
      <c r="AB136" s="412"/>
      <c r="AC136" s="412"/>
      <c r="AD136" s="412"/>
      <c r="AE136" s="412"/>
      <c r="AF136" s="412"/>
      <c r="AG136" s="412"/>
      <c r="AH136" s="412"/>
      <c r="AI136" s="412"/>
      <c r="AJ136" s="412"/>
      <c r="AK136" s="412"/>
      <c r="AL136" s="412"/>
      <c r="AM136" s="412"/>
      <c r="AN136" s="412"/>
      <c r="AO136" s="412"/>
      <c r="AP136" s="412"/>
      <c r="AQ136" s="412"/>
      <c r="AR136" s="412"/>
      <c r="AS136" s="412"/>
      <c r="AT136" s="412"/>
      <c r="AU136" s="412"/>
      <c r="AV136" s="412"/>
      <c r="AW136" s="412"/>
      <c r="AX136" s="412"/>
      <c r="AY136" s="412"/>
      <c r="AZ136" s="412"/>
      <c r="BA136" s="412"/>
      <c r="BB136" s="412"/>
    </row>
    <row r="137" spans="26:54" s="2" customFormat="1">
      <c r="Z137" s="412"/>
      <c r="AA137" s="412"/>
      <c r="AB137" s="412"/>
      <c r="AC137" s="412"/>
      <c r="AD137" s="412"/>
      <c r="AE137" s="412"/>
      <c r="AF137" s="412"/>
      <c r="AG137" s="412"/>
      <c r="AH137" s="412"/>
      <c r="AI137" s="412"/>
      <c r="AJ137" s="412"/>
      <c r="AK137" s="412"/>
      <c r="AL137" s="412"/>
      <c r="AM137" s="412"/>
      <c r="AN137" s="412"/>
      <c r="AO137" s="412"/>
      <c r="AP137" s="412"/>
      <c r="AQ137" s="412"/>
      <c r="AR137" s="412"/>
      <c r="AS137" s="412"/>
      <c r="AT137" s="412"/>
      <c r="AU137" s="412"/>
      <c r="AV137" s="412"/>
      <c r="AW137" s="412"/>
      <c r="AX137" s="412"/>
      <c r="AY137" s="412"/>
      <c r="AZ137" s="412"/>
      <c r="BA137" s="412"/>
      <c r="BB137" s="412"/>
    </row>
    <row r="138" spans="26:54" s="2" customFormat="1">
      <c r="Z138" s="412"/>
      <c r="AA138" s="412"/>
      <c r="AB138" s="412"/>
      <c r="AC138" s="412"/>
      <c r="AD138" s="412"/>
      <c r="AE138" s="412"/>
      <c r="AF138" s="412"/>
      <c r="AG138" s="412"/>
      <c r="AH138" s="412"/>
      <c r="AI138" s="412"/>
      <c r="AJ138" s="412"/>
      <c r="AK138" s="412"/>
      <c r="AL138" s="412"/>
      <c r="AM138" s="412"/>
      <c r="AN138" s="412"/>
      <c r="AO138" s="412"/>
      <c r="AP138" s="412"/>
      <c r="AQ138" s="412"/>
      <c r="AR138" s="412"/>
      <c r="AS138" s="412"/>
      <c r="AT138" s="412"/>
      <c r="AU138" s="412"/>
      <c r="AV138" s="412"/>
      <c r="AW138" s="412"/>
      <c r="AX138" s="412"/>
      <c r="AY138" s="412"/>
      <c r="AZ138" s="412"/>
      <c r="BA138" s="412"/>
      <c r="BB138" s="412"/>
    </row>
    <row r="139" spans="26:54" s="2" customFormat="1">
      <c r="Z139" s="412"/>
      <c r="AA139" s="412"/>
      <c r="AB139" s="412"/>
      <c r="AC139" s="412"/>
      <c r="AD139" s="412"/>
      <c r="AE139" s="412"/>
      <c r="AF139" s="412"/>
      <c r="AG139" s="412"/>
      <c r="AH139" s="412"/>
      <c r="AI139" s="412"/>
      <c r="AJ139" s="412"/>
      <c r="AK139" s="412"/>
      <c r="AL139" s="412"/>
      <c r="AM139" s="412"/>
      <c r="AN139" s="412"/>
      <c r="AO139" s="412"/>
      <c r="AP139" s="412"/>
      <c r="AQ139" s="412"/>
      <c r="AR139" s="412"/>
      <c r="AS139" s="412"/>
      <c r="AT139" s="412"/>
      <c r="AU139" s="412"/>
      <c r="AV139" s="412"/>
      <c r="AW139" s="412"/>
      <c r="AX139" s="412"/>
      <c r="AY139" s="412"/>
      <c r="AZ139" s="412"/>
      <c r="BA139" s="412"/>
      <c r="BB139" s="412"/>
    </row>
    <row r="140" spans="26:54" s="2" customFormat="1">
      <c r="Z140" s="412"/>
      <c r="AA140" s="412"/>
      <c r="AB140" s="412"/>
      <c r="AC140" s="412"/>
      <c r="AD140" s="412"/>
      <c r="AE140" s="412"/>
      <c r="AF140" s="412"/>
      <c r="AG140" s="412"/>
      <c r="AH140" s="412"/>
      <c r="AI140" s="412"/>
      <c r="AJ140" s="412"/>
      <c r="AK140" s="412"/>
      <c r="AL140" s="412"/>
      <c r="AM140" s="412"/>
      <c r="AN140" s="412"/>
      <c r="AO140" s="412"/>
      <c r="AP140" s="412"/>
      <c r="AQ140" s="412"/>
      <c r="AR140" s="412"/>
      <c r="AS140" s="412"/>
      <c r="AT140" s="412"/>
      <c r="AU140" s="412"/>
      <c r="AV140" s="412"/>
      <c r="AW140" s="412"/>
      <c r="AX140" s="412"/>
      <c r="AY140" s="412"/>
      <c r="AZ140" s="412"/>
      <c r="BA140" s="412"/>
      <c r="BB140" s="412"/>
    </row>
    <row r="141" spans="26:54" s="2" customFormat="1">
      <c r="Z141" s="412"/>
      <c r="AA141" s="412"/>
      <c r="AB141" s="412"/>
      <c r="AC141" s="412"/>
      <c r="AD141" s="412"/>
      <c r="AE141" s="412"/>
      <c r="AF141" s="412"/>
      <c r="AG141" s="412"/>
      <c r="AH141" s="412"/>
      <c r="AI141" s="412"/>
      <c r="AJ141" s="412"/>
      <c r="AK141" s="412"/>
      <c r="AL141" s="412"/>
      <c r="AM141" s="412"/>
      <c r="AN141" s="412"/>
      <c r="AO141" s="412"/>
      <c r="AP141" s="412"/>
      <c r="AQ141" s="412"/>
      <c r="AR141" s="412"/>
      <c r="AS141" s="412"/>
      <c r="AT141" s="412"/>
      <c r="AU141" s="412"/>
      <c r="AV141" s="412"/>
      <c r="AW141" s="412"/>
      <c r="AX141" s="412"/>
      <c r="AY141" s="412"/>
      <c r="AZ141" s="412"/>
      <c r="BA141" s="412"/>
      <c r="BB141" s="412"/>
    </row>
    <row r="142" spans="26:54" s="2" customFormat="1">
      <c r="Z142" s="412"/>
      <c r="AA142" s="412"/>
      <c r="AB142" s="412"/>
      <c r="AC142" s="412"/>
      <c r="AD142" s="412"/>
      <c r="AE142" s="412"/>
      <c r="AF142" s="412"/>
      <c r="AG142" s="412"/>
      <c r="AH142" s="412"/>
      <c r="AI142" s="412"/>
      <c r="AJ142" s="412"/>
      <c r="AK142" s="412"/>
      <c r="AL142" s="412"/>
      <c r="AM142" s="412"/>
      <c r="AN142" s="412"/>
      <c r="AO142" s="412"/>
      <c r="AP142" s="412"/>
      <c r="AQ142" s="412"/>
      <c r="AR142" s="412"/>
      <c r="AS142" s="412"/>
      <c r="AT142" s="412"/>
      <c r="AU142" s="412"/>
      <c r="AV142" s="412"/>
      <c r="AW142" s="412"/>
      <c r="AX142" s="412"/>
      <c r="AY142" s="412"/>
      <c r="AZ142" s="412"/>
      <c r="BA142" s="412"/>
      <c r="BB142" s="412"/>
    </row>
    <row r="143" spans="26:54" s="2" customFormat="1">
      <c r="Z143" s="412"/>
      <c r="AA143" s="412"/>
      <c r="AB143" s="412"/>
      <c r="AC143" s="412"/>
      <c r="AD143" s="412"/>
      <c r="AE143" s="412"/>
      <c r="AF143" s="412"/>
      <c r="AG143" s="412"/>
      <c r="AH143" s="412"/>
      <c r="AI143" s="412"/>
      <c r="AJ143" s="412"/>
      <c r="AK143" s="412"/>
      <c r="AL143" s="412"/>
      <c r="AM143" s="412"/>
      <c r="AN143" s="412"/>
      <c r="AO143" s="412"/>
      <c r="AP143" s="412"/>
      <c r="AQ143" s="412"/>
      <c r="AR143" s="412"/>
      <c r="AS143" s="412"/>
      <c r="AT143" s="412"/>
      <c r="AU143" s="412"/>
      <c r="AV143" s="412"/>
      <c r="AW143" s="412"/>
      <c r="AX143" s="412"/>
      <c r="AY143" s="412"/>
      <c r="AZ143" s="412"/>
      <c r="BA143" s="412"/>
      <c r="BB143" s="412"/>
    </row>
    <row r="144" spans="26:54" s="2" customFormat="1">
      <c r="Z144" s="412"/>
      <c r="AA144" s="412"/>
      <c r="AB144" s="412"/>
      <c r="AC144" s="412"/>
      <c r="AD144" s="412"/>
      <c r="AE144" s="412"/>
      <c r="AF144" s="412"/>
      <c r="AG144" s="412"/>
      <c r="AH144" s="412"/>
      <c r="AI144" s="412"/>
      <c r="AJ144" s="412"/>
      <c r="AK144" s="412"/>
      <c r="AL144" s="412"/>
      <c r="AM144" s="412"/>
      <c r="AN144" s="412"/>
      <c r="AO144" s="412"/>
      <c r="AP144" s="412"/>
      <c r="AQ144" s="412"/>
      <c r="AR144" s="412"/>
      <c r="AS144" s="412"/>
      <c r="AT144" s="412"/>
      <c r="AU144" s="412"/>
      <c r="AV144" s="412"/>
      <c r="AW144" s="412"/>
      <c r="AX144" s="412"/>
      <c r="AY144" s="412"/>
      <c r="AZ144" s="412"/>
      <c r="BA144" s="412"/>
      <c r="BB144" s="412"/>
    </row>
    <row r="145" spans="26:54" s="2" customFormat="1">
      <c r="Z145" s="412"/>
      <c r="AA145" s="412"/>
      <c r="AB145" s="412"/>
      <c r="AC145" s="412"/>
      <c r="AD145" s="412"/>
      <c r="AE145" s="412"/>
      <c r="AF145" s="412"/>
      <c r="AG145" s="412"/>
      <c r="AH145" s="412"/>
      <c r="AI145" s="412"/>
      <c r="AJ145" s="412"/>
      <c r="AK145" s="412"/>
      <c r="AL145" s="412"/>
      <c r="AM145" s="412"/>
      <c r="AN145" s="412"/>
      <c r="AO145" s="412"/>
      <c r="AP145" s="412"/>
      <c r="AQ145" s="412"/>
      <c r="AR145" s="412"/>
      <c r="AS145" s="412"/>
      <c r="AT145" s="412"/>
      <c r="AU145" s="412"/>
      <c r="AV145" s="412"/>
      <c r="AW145" s="412"/>
      <c r="AX145" s="412"/>
      <c r="AY145" s="412"/>
      <c r="AZ145" s="412"/>
      <c r="BA145" s="412"/>
      <c r="BB145" s="412"/>
    </row>
    <row r="146" spans="26:54" s="2" customFormat="1">
      <c r="Z146" s="412"/>
      <c r="AA146" s="412"/>
      <c r="AB146" s="412"/>
      <c r="AC146" s="412"/>
      <c r="AD146" s="412"/>
      <c r="AE146" s="412"/>
      <c r="AF146" s="412"/>
      <c r="AG146" s="412"/>
      <c r="AH146" s="412"/>
      <c r="AI146" s="412"/>
      <c r="AJ146" s="412"/>
      <c r="AK146" s="412"/>
      <c r="AL146" s="412"/>
      <c r="AM146" s="412"/>
      <c r="AN146" s="412"/>
      <c r="AO146" s="412"/>
      <c r="AP146" s="412"/>
      <c r="AQ146" s="412"/>
      <c r="AR146" s="412"/>
      <c r="AS146" s="412"/>
      <c r="AT146" s="412"/>
      <c r="AU146" s="412"/>
      <c r="AV146" s="412"/>
      <c r="AW146" s="412"/>
      <c r="AX146" s="412"/>
      <c r="AY146" s="412"/>
      <c r="AZ146" s="412"/>
      <c r="BA146" s="412"/>
      <c r="BB146" s="412"/>
    </row>
    <row r="147" spans="26:54" s="2" customFormat="1">
      <c r="Z147" s="412"/>
      <c r="AA147" s="412"/>
      <c r="AB147" s="412"/>
      <c r="AC147" s="412"/>
      <c r="AD147" s="412"/>
      <c r="AE147" s="412"/>
      <c r="AF147" s="412"/>
      <c r="AG147" s="412"/>
      <c r="AH147" s="412"/>
      <c r="AI147" s="412"/>
      <c r="AJ147" s="412"/>
      <c r="AK147" s="412"/>
      <c r="AL147" s="412"/>
      <c r="AM147" s="412"/>
      <c r="AN147" s="412"/>
      <c r="AO147" s="412"/>
      <c r="AP147" s="412"/>
      <c r="AQ147" s="412"/>
      <c r="AR147" s="412"/>
      <c r="AS147" s="412"/>
      <c r="AT147" s="412"/>
      <c r="AU147" s="412"/>
      <c r="AV147" s="412"/>
      <c r="AW147" s="412"/>
      <c r="AX147" s="412"/>
      <c r="AY147" s="412"/>
      <c r="AZ147" s="412"/>
      <c r="BA147" s="412"/>
      <c r="BB147" s="412"/>
    </row>
    <row r="148" spans="26:54" s="2" customFormat="1">
      <c r="Z148" s="412"/>
      <c r="AA148" s="412"/>
      <c r="AB148" s="412"/>
      <c r="AC148" s="412"/>
      <c r="AD148" s="412"/>
      <c r="AE148" s="412"/>
      <c r="AF148" s="412"/>
      <c r="AG148" s="412"/>
      <c r="AH148" s="412"/>
      <c r="AI148" s="412"/>
      <c r="AJ148" s="412"/>
      <c r="AK148" s="412"/>
      <c r="AL148" s="412"/>
      <c r="AM148" s="412"/>
      <c r="AN148" s="412"/>
      <c r="AO148" s="412"/>
      <c r="AP148" s="412"/>
      <c r="AQ148" s="412"/>
      <c r="AR148" s="412"/>
      <c r="AS148" s="412"/>
      <c r="AT148" s="412"/>
      <c r="AU148" s="412"/>
      <c r="AV148" s="412"/>
      <c r="AW148" s="412"/>
      <c r="AX148" s="412"/>
      <c r="AY148" s="412"/>
      <c r="AZ148" s="412"/>
      <c r="BA148" s="412"/>
      <c r="BB148" s="412"/>
    </row>
    <row r="149" spans="26:54" s="2" customFormat="1">
      <c r="Z149" s="412"/>
      <c r="AA149" s="412"/>
      <c r="AB149" s="412"/>
      <c r="AC149" s="412"/>
      <c r="AD149" s="412"/>
      <c r="AE149" s="412"/>
      <c r="AF149" s="412"/>
      <c r="AG149" s="412"/>
      <c r="AH149" s="412"/>
      <c r="AI149" s="412"/>
      <c r="AJ149" s="412"/>
      <c r="AK149" s="412"/>
      <c r="AL149" s="412"/>
      <c r="AM149" s="412"/>
      <c r="AN149" s="412"/>
      <c r="AO149" s="412"/>
      <c r="AP149" s="412"/>
      <c r="AQ149" s="412"/>
      <c r="AR149" s="412"/>
      <c r="AS149" s="412"/>
      <c r="AT149" s="412"/>
      <c r="AU149" s="412"/>
      <c r="AV149" s="412"/>
      <c r="AW149" s="412"/>
      <c r="AX149" s="412"/>
      <c r="AY149" s="412"/>
      <c r="AZ149" s="412"/>
      <c r="BA149" s="412"/>
      <c r="BB149" s="412"/>
    </row>
    <row r="150" spans="26:54" s="2" customFormat="1">
      <c r="Z150" s="412"/>
      <c r="AA150" s="412"/>
      <c r="AB150" s="412"/>
      <c r="AC150" s="412"/>
      <c r="AD150" s="412"/>
      <c r="AE150" s="412"/>
      <c r="AF150" s="412"/>
      <c r="AG150" s="412"/>
      <c r="AH150" s="412"/>
      <c r="AI150" s="412"/>
      <c r="AJ150" s="412"/>
      <c r="AK150" s="412"/>
      <c r="AL150" s="412"/>
      <c r="AM150" s="412"/>
      <c r="AN150" s="412"/>
      <c r="AO150" s="412"/>
      <c r="AP150" s="412"/>
      <c r="AQ150" s="412"/>
      <c r="AR150" s="412"/>
      <c r="AS150" s="412"/>
      <c r="AT150" s="412"/>
      <c r="AU150" s="412"/>
      <c r="AV150" s="412"/>
      <c r="AW150" s="412"/>
      <c r="AX150" s="412"/>
      <c r="AY150" s="412"/>
      <c r="AZ150" s="412"/>
      <c r="BA150" s="412"/>
      <c r="BB150" s="412"/>
    </row>
    <row r="151" spans="26:54" s="2" customFormat="1">
      <c r="Z151" s="412"/>
      <c r="AA151" s="412"/>
      <c r="AB151" s="412"/>
      <c r="AC151" s="412"/>
      <c r="AD151" s="412"/>
      <c r="AE151" s="412"/>
      <c r="AF151" s="412"/>
      <c r="AG151" s="412"/>
      <c r="AH151" s="412"/>
      <c r="AI151" s="412"/>
      <c r="AJ151" s="412"/>
      <c r="AK151" s="412"/>
      <c r="AL151" s="412"/>
      <c r="AM151" s="412"/>
      <c r="AN151" s="412"/>
      <c r="AO151" s="412"/>
      <c r="AP151" s="412"/>
      <c r="AQ151" s="412"/>
      <c r="AR151" s="412"/>
      <c r="AS151" s="412"/>
      <c r="AT151" s="412"/>
      <c r="AU151" s="412"/>
      <c r="AV151" s="412"/>
      <c r="AW151" s="412"/>
      <c r="AX151" s="412"/>
      <c r="AY151" s="412"/>
      <c r="AZ151" s="412"/>
      <c r="BA151" s="412"/>
      <c r="BB151" s="412"/>
    </row>
    <row r="152" spans="26:54" s="2" customFormat="1">
      <c r="Z152" s="412"/>
      <c r="AA152" s="412"/>
      <c r="AB152" s="412"/>
      <c r="AC152" s="412"/>
      <c r="AD152" s="412"/>
      <c r="AE152" s="412"/>
      <c r="AF152" s="412"/>
      <c r="AG152" s="412"/>
      <c r="AH152" s="412"/>
      <c r="AI152" s="412"/>
      <c r="AJ152" s="412"/>
      <c r="AK152" s="412"/>
      <c r="AL152" s="412"/>
      <c r="AM152" s="412"/>
      <c r="AN152" s="412"/>
      <c r="AO152" s="412"/>
      <c r="AP152" s="412"/>
      <c r="AQ152" s="412"/>
      <c r="AR152" s="412"/>
      <c r="AS152" s="412"/>
      <c r="AT152" s="412"/>
      <c r="AU152" s="412"/>
      <c r="AV152" s="412"/>
      <c r="AW152" s="412"/>
      <c r="AX152" s="412"/>
      <c r="AY152" s="412"/>
      <c r="AZ152" s="412"/>
      <c r="BA152" s="412"/>
      <c r="BB152" s="412"/>
    </row>
    <row r="153" spans="26:54" s="2" customFormat="1">
      <c r="Z153" s="412"/>
      <c r="AA153" s="412"/>
      <c r="AB153" s="412"/>
      <c r="AC153" s="412"/>
      <c r="AD153" s="412"/>
      <c r="AE153" s="412"/>
      <c r="AF153" s="412"/>
      <c r="AG153" s="412"/>
      <c r="AH153" s="412"/>
      <c r="AI153" s="412"/>
      <c r="AJ153" s="412"/>
      <c r="AK153" s="412"/>
      <c r="AL153" s="412"/>
      <c r="AM153" s="412"/>
      <c r="AN153" s="412"/>
      <c r="AO153" s="412"/>
      <c r="AP153" s="412"/>
      <c r="AQ153" s="412"/>
      <c r="AR153" s="412"/>
      <c r="AS153" s="412"/>
      <c r="AT153" s="412"/>
      <c r="AU153" s="412"/>
      <c r="AV153" s="412"/>
      <c r="AW153" s="412"/>
      <c r="AX153" s="412"/>
      <c r="AY153" s="412"/>
      <c r="AZ153" s="412"/>
      <c r="BA153" s="412"/>
      <c r="BB153" s="412"/>
    </row>
    <row r="154" spans="26:54" s="2" customFormat="1">
      <c r="Z154" s="412"/>
      <c r="AA154" s="412"/>
      <c r="AB154" s="412"/>
      <c r="AC154" s="412"/>
      <c r="AD154" s="412"/>
      <c r="AE154" s="412"/>
      <c r="AF154" s="412"/>
      <c r="AG154" s="412"/>
      <c r="AH154" s="412"/>
      <c r="AI154" s="412"/>
      <c r="AJ154" s="412"/>
      <c r="AK154" s="412"/>
      <c r="AL154" s="412"/>
      <c r="AM154" s="412"/>
      <c r="AN154" s="412"/>
      <c r="AO154" s="412"/>
      <c r="AP154" s="412"/>
      <c r="AQ154" s="412"/>
      <c r="AR154" s="412"/>
      <c r="AS154" s="412"/>
      <c r="AT154" s="412"/>
      <c r="AU154" s="412"/>
      <c r="AV154" s="412"/>
      <c r="AW154" s="412"/>
      <c r="AX154" s="412"/>
      <c r="AY154" s="412"/>
      <c r="AZ154" s="412"/>
      <c r="BA154" s="412"/>
      <c r="BB154" s="412"/>
    </row>
    <row r="155" spans="26:54" s="2" customFormat="1">
      <c r="Z155" s="412"/>
      <c r="AA155" s="412"/>
      <c r="AB155" s="412"/>
      <c r="AC155" s="412"/>
      <c r="AD155" s="412"/>
      <c r="AE155" s="412"/>
      <c r="AF155" s="412"/>
      <c r="AG155" s="412"/>
      <c r="AH155" s="412"/>
      <c r="AI155" s="412"/>
      <c r="AJ155" s="412"/>
      <c r="AK155" s="412"/>
      <c r="AL155" s="412"/>
      <c r="AM155" s="412"/>
      <c r="AN155" s="412"/>
      <c r="AO155" s="412"/>
      <c r="AP155" s="412"/>
      <c r="AQ155" s="412"/>
      <c r="AR155" s="412"/>
      <c r="AS155" s="412"/>
      <c r="AT155" s="412"/>
      <c r="AU155" s="412"/>
      <c r="AV155" s="412"/>
      <c r="AW155" s="412"/>
      <c r="AX155" s="412"/>
      <c r="AY155" s="412"/>
      <c r="AZ155" s="412"/>
      <c r="BA155" s="412"/>
      <c r="BB155" s="412"/>
    </row>
    <row r="156" spans="26:54" s="2" customFormat="1">
      <c r="Z156" s="412"/>
      <c r="AA156" s="412"/>
      <c r="AB156" s="412"/>
      <c r="AC156" s="412"/>
      <c r="AD156" s="412"/>
      <c r="AE156" s="412"/>
      <c r="AF156" s="412"/>
      <c r="AG156" s="412"/>
      <c r="AH156" s="412"/>
      <c r="AI156" s="412"/>
      <c r="AJ156" s="412"/>
      <c r="AK156" s="412"/>
      <c r="AL156" s="412"/>
      <c r="AM156" s="412"/>
      <c r="AN156" s="412"/>
      <c r="AO156" s="412"/>
      <c r="AP156" s="412"/>
      <c r="AQ156" s="412"/>
      <c r="AR156" s="412"/>
      <c r="AS156" s="412"/>
      <c r="AT156" s="412"/>
      <c r="AU156" s="412"/>
      <c r="AV156" s="412"/>
      <c r="AW156" s="412"/>
      <c r="AX156" s="412"/>
      <c r="AY156" s="412"/>
      <c r="AZ156" s="412"/>
      <c r="BA156" s="412"/>
      <c r="BB156" s="412"/>
    </row>
    <row r="157" spans="26:54" s="2" customFormat="1">
      <c r="Z157" s="412"/>
      <c r="AA157" s="412"/>
      <c r="AB157" s="412"/>
      <c r="AC157" s="412"/>
      <c r="AD157" s="412"/>
      <c r="AE157" s="412"/>
      <c r="AF157" s="412"/>
      <c r="AG157" s="412"/>
      <c r="AH157" s="412"/>
      <c r="AI157" s="412"/>
      <c r="AJ157" s="412"/>
      <c r="AK157" s="412"/>
      <c r="AL157" s="412"/>
      <c r="AM157" s="412"/>
      <c r="AN157" s="412"/>
      <c r="AO157" s="412"/>
      <c r="AP157" s="412"/>
      <c r="AQ157" s="412"/>
      <c r="AR157" s="412"/>
      <c r="AS157" s="412"/>
      <c r="AT157" s="412"/>
      <c r="AU157" s="412"/>
      <c r="AV157" s="412"/>
      <c r="AW157" s="412"/>
      <c r="AX157" s="412"/>
      <c r="AY157" s="412"/>
      <c r="AZ157" s="412"/>
      <c r="BA157" s="412"/>
      <c r="BB157" s="412"/>
    </row>
    <row r="158" spans="26:54" s="2" customFormat="1">
      <c r="Z158" s="412"/>
      <c r="AA158" s="412"/>
      <c r="AB158" s="412"/>
      <c r="AC158" s="412"/>
      <c r="AD158" s="412"/>
      <c r="AE158" s="412"/>
      <c r="AF158" s="412"/>
      <c r="AG158" s="412"/>
      <c r="AH158" s="412"/>
      <c r="AI158" s="412"/>
      <c r="AJ158" s="412"/>
      <c r="AK158" s="412"/>
      <c r="AL158" s="412"/>
      <c r="AM158" s="412"/>
      <c r="AN158" s="412"/>
      <c r="AO158" s="412"/>
      <c r="AP158" s="412"/>
      <c r="AQ158" s="412"/>
      <c r="AR158" s="412"/>
      <c r="AS158" s="412"/>
      <c r="AT158" s="412"/>
      <c r="AU158" s="412"/>
      <c r="AV158" s="412"/>
      <c r="AW158" s="412"/>
      <c r="AX158" s="412"/>
      <c r="AY158" s="412"/>
      <c r="AZ158" s="412"/>
      <c r="BA158" s="412"/>
      <c r="BB158" s="412"/>
    </row>
    <row r="159" spans="26:54" s="2" customFormat="1">
      <c r="Z159" s="412"/>
      <c r="AA159" s="412"/>
      <c r="AB159" s="412"/>
      <c r="AC159" s="412"/>
      <c r="AD159" s="412"/>
      <c r="AE159" s="412"/>
      <c r="AF159" s="412"/>
      <c r="AG159" s="412"/>
      <c r="AH159" s="412"/>
      <c r="AI159" s="412"/>
      <c r="AJ159" s="412"/>
      <c r="AK159" s="412"/>
      <c r="AL159" s="412"/>
      <c r="AM159" s="412"/>
      <c r="AN159" s="412"/>
      <c r="AO159" s="412"/>
      <c r="AP159" s="412"/>
      <c r="AQ159" s="412"/>
      <c r="AR159" s="412"/>
      <c r="AS159" s="412"/>
      <c r="AT159" s="412"/>
      <c r="AU159" s="412"/>
      <c r="AV159" s="412"/>
      <c r="AW159" s="412"/>
      <c r="AX159" s="412"/>
      <c r="AY159" s="412"/>
      <c r="AZ159" s="412"/>
      <c r="BA159" s="412"/>
      <c r="BB159" s="412"/>
    </row>
    <row r="160" spans="26:54" s="2" customFormat="1">
      <c r="Z160" s="412"/>
      <c r="AA160" s="412"/>
      <c r="AB160" s="412"/>
      <c r="AC160" s="412"/>
      <c r="AD160" s="412"/>
      <c r="AE160" s="412"/>
      <c r="AF160" s="412"/>
      <c r="AG160" s="412"/>
      <c r="AH160" s="412"/>
      <c r="AI160" s="412"/>
      <c r="AJ160" s="412"/>
      <c r="AK160" s="412"/>
      <c r="AL160" s="412"/>
      <c r="AM160" s="412"/>
      <c r="AN160" s="412"/>
      <c r="AO160" s="412"/>
      <c r="AP160" s="412"/>
      <c r="AQ160" s="412"/>
      <c r="AR160" s="412"/>
      <c r="AS160" s="412"/>
      <c r="AT160" s="412"/>
      <c r="AU160" s="412"/>
      <c r="AV160" s="412"/>
      <c r="AW160" s="412"/>
      <c r="AX160" s="412"/>
      <c r="AY160" s="412"/>
      <c r="AZ160" s="412"/>
      <c r="BA160" s="412"/>
      <c r="BB160" s="412"/>
    </row>
    <row r="161" spans="26:54" s="2" customFormat="1">
      <c r="Z161" s="412"/>
      <c r="AA161" s="412"/>
      <c r="AB161" s="412"/>
      <c r="AC161" s="412"/>
      <c r="AD161" s="412"/>
      <c r="AE161" s="412"/>
      <c r="AF161" s="412"/>
      <c r="AG161" s="412"/>
      <c r="AH161" s="412"/>
      <c r="AI161" s="412"/>
      <c r="AJ161" s="412"/>
      <c r="AK161" s="412"/>
      <c r="AL161" s="412"/>
      <c r="AM161" s="412"/>
      <c r="AN161" s="412"/>
      <c r="AO161" s="412"/>
      <c r="AP161" s="412"/>
      <c r="AQ161" s="412"/>
      <c r="AR161" s="412"/>
      <c r="AS161" s="412"/>
      <c r="AT161" s="412"/>
      <c r="AU161" s="412"/>
      <c r="AV161" s="412"/>
      <c r="AW161" s="412"/>
      <c r="AX161" s="412"/>
      <c r="AY161" s="412"/>
      <c r="AZ161" s="412"/>
      <c r="BA161" s="412"/>
      <c r="BB161" s="412"/>
    </row>
    <row r="162" spans="26:54" s="2" customFormat="1">
      <c r="Z162" s="412"/>
      <c r="AA162" s="412"/>
      <c r="AB162" s="412"/>
      <c r="AC162" s="412"/>
      <c r="AD162" s="412"/>
      <c r="AE162" s="412"/>
      <c r="AF162" s="412"/>
      <c r="AG162" s="412"/>
      <c r="AH162" s="412"/>
      <c r="AI162" s="412"/>
      <c r="AJ162" s="412"/>
      <c r="AK162" s="412"/>
      <c r="AL162" s="412"/>
      <c r="AM162" s="412"/>
      <c r="AN162" s="412"/>
      <c r="AO162" s="412"/>
      <c r="AP162" s="412"/>
      <c r="AQ162" s="412"/>
      <c r="AR162" s="412"/>
      <c r="AS162" s="412"/>
      <c r="AT162" s="412"/>
      <c r="AU162" s="412"/>
      <c r="AV162" s="412"/>
      <c r="AW162" s="412"/>
      <c r="AX162" s="412"/>
      <c r="AY162" s="412"/>
      <c r="AZ162" s="412"/>
      <c r="BA162" s="412"/>
      <c r="BB162" s="412"/>
    </row>
    <row r="163" spans="26:54" s="2" customFormat="1">
      <c r="Z163" s="412"/>
      <c r="AA163" s="412"/>
      <c r="AB163" s="412"/>
      <c r="AC163" s="412"/>
      <c r="AD163" s="412"/>
      <c r="AE163" s="412"/>
      <c r="AF163" s="412"/>
      <c r="AG163" s="412"/>
      <c r="AH163" s="412"/>
      <c r="AI163" s="412"/>
      <c r="AJ163" s="412"/>
      <c r="AK163" s="412"/>
      <c r="AL163" s="412"/>
      <c r="AM163" s="412"/>
      <c r="AN163" s="412"/>
      <c r="AO163" s="412"/>
      <c r="AP163" s="412"/>
      <c r="AQ163" s="412"/>
      <c r="AR163" s="412"/>
      <c r="AS163" s="412"/>
      <c r="AT163" s="412"/>
      <c r="AU163" s="412"/>
      <c r="AV163" s="412"/>
      <c r="AW163" s="412"/>
      <c r="AX163" s="412"/>
      <c r="AY163" s="412"/>
      <c r="AZ163" s="412"/>
      <c r="BA163" s="412"/>
      <c r="BB163" s="412"/>
    </row>
    <row r="164" spans="26:54" s="2" customFormat="1">
      <c r="Z164" s="412"/>
      <c r="AA164" s="412"/>
      <c r="AB164" s="412"/>
      <c r="AC164" s="412"/>
      <c r="AD164" s="412"/>
      <c r="AE164" s="412"/>
      <c r="AF164" s="412"/>
      <c r="AG164" s="412"/>
      <c r="AH164" s="412"/>
      <c r="AI164" s="412"/>
      <c r="AJ164" s="412"/>
      <c r="AK164" s="412"/>
      <c r="AL164" s="412"/>
      <c r="AM164" s="412"/>
      <c r="AN164" s="412"/>
      <c r="AO164" s="412"/>
      <c r="AP164" s="412"/>
      <c r="AQ164" s="412"/>
      <c r="AR164" s="412"/>
      <c r="AS164" s="412"/>
      <c r="AT164" s="412"/>
      <c r="AU164" s="412"/>
      <c r="AV164" s="412"/>
      <c r="AW164" s="412"/>
      <c r="AX164" s="412"/>
      <c r="AY164" s="412"/>
      <c r="AZ164" s="412"/>
      <c r="BA164" s="412"/>
      <c r="BB164" s="412"/>
    </row>
    <row r="165" spans="26:54" s="2" customFormat="1">
      <c r="Z165" s="412"/>
      <c r="AA165" s="412"/>
      <c r="AB165" s="412"/>
      <c r="AC165" s="412"/>
      <c r="AD165" s="412"/>
      <c r="AE165" s="412"/>
      <c r="AF165" s="412"/>
      <c r="AG165" s="412"/>
      <c r="AH165" s="412"/>
      <c r="AI165" s="412"/>
      <c r="AJ165" s="412"/>
      <c r="AK165" s="412"/>
      <c r="AL165" s="412"/>
      <c r="AM165" s="412"/>
      <c r="AN165" s="412"/>
      <c r="AO165" s="412"/>
      <c r="AP165" s="412"/>
      <c r="AQ165" s="412"/>
      <c r="AR165" s="412"/>
      <c r="AS165" s="412"/>
      <c r="AT165" s="412"/>
      <c r="AU165" s="412"/>
      <c r="AV165" s="412"/>
      <c r="AW165" s="412"/>
      <c r="AX165" s="412"/>
      <c r="AY165" s="412"/>
      <c r="AZ165" s="412"/>
      <c r="BA165" s="412"/>
      <c r="BB165" s="412"/>
    </row>
    <row r="166" spans="26:54" s="2" customFormat="1">
      <c r="Z166" s="412"/>
      <c r="AA166" s="412"/>
      <c r="AB166" s="412"/>
      <c r="AC166" s="412"/>
      <c r="AD166" s="412"/>
      <c r="AE166" s="412"/>
      <c r="AF166" s="412"/>
      <c r="AG166" s="412"/>
      <c r="AH166" s="412"/>
      <c r="AI166" s="412"/>
      <c r="AJ166" s="412"/>
      <c r="AK166" s="412"/>
      <c r="AL166" s="412"/>
      <c r="AM166" s="412"/>
      <c r="AN166" s="412"/>
      <c r="AO166" s="412"/>
      <c r="AP166" s="412"/>
      <c r="AQ166" s="412"/>
      <c r="AR166" s="412"/>
      <c r="AS166" s="412"/>
      <c r="AT166" s="412"/>
      <c r="AU166" s="412"/>
      <c r="AV166" s="412"/>
      <c r="AW166" s="412"/>
      <c r="AX166" s="412"/>
      <c r="AY166" s="412"/>
      <c r="AZ166" s="412"/>
      <c r="BA166" s="412"/>
      <c r="BB166" s="412"/>
    </row>
    <row r="167" spans="26:54" s="2" customFormat="1">
      <c r="Z167" s="412"/>
      <c r="AA167" s="412"/>
      <c r="AB167" s="412"/>
      <c r="AC167" s="412"/>
      <c r="AD167" s="412"/>
      <c r="AE167" s="412"/>
      <c r="AF167" s="412"/>
      <c r="AG167" s="412"/>
      <c r="AH167" s="412"/>
      <c r="AI167" s="412"/>
      <c r="AJ167" s="412"/>
      <c r="AK167" s="412"/>
      <c r="AL167" s="412"/>
      <c r="AM167" s="412"/>
      <c r="AN167" s="412"/>
      <c r="AO167" s="412"/>
      <c r="AP167" s="412"/>
      <c r="AQ167" s="412"/>
      <c r="AR167" s="412"/>
      <c r="AS167" s="412"/>
      <c r="AT167" s="412"/>
      <c r="AU167" s="412"/>
      <c r="AV167" s="412"/>
      <c r="AW167" s="412"/>
      <c r="AX167" s="412"/>
      <c r="AY167" s="412"/>
      <c r="AZ167" s="412"/>
      <c r="BA167" s="412"/>
      <c r="BB167" s="412"/>
    </row>
    <row r="168" spans="26:54" s="2" customFormat="1">
      <c r="Z168" s="412"/>
      <c r="AA168" s="412"/>
      <c r="AB168" s="412"/>
      <c r="AC168" s="412"/>
      <c r="AD168" s="412"/>
      <c r="AE168" s="412"/>
      <c r="AF168" s="412"/>
      <c r="AG168" s="412"/>
      <c r="AH168" s="412"/>
      <c r="AI168" s="412"/>
      <c r="AJ168" s="412"/>
      <c r="AK168" s="412"/>
      <c r="AL168" s="412"/>
      <c r="AM168" s="412"/>
      <c r="AN168" s="412"/>
      <c r="AO168" s="412"/>
      <c r="AP168" s="412"/>
      <c r="AQ168" s="412"/>
      <c r="AR168" s="412"/>
      <c r="AS168" s="412"/>
      <c r="AT168" s="412"/>
      <c r="AU168" s="412"/>
      <c r="AV168" s="412"/>
      <c r="AW168" s="412"/>
      <c r="AX168" s="412"/>
      <c r="AY168" s="412"/>
      <c r="AZ168" s="412"/>
      <c r="BA168" s="412"/>
      <c r="BB168" s="412"/>
    </row>
    <row r="169" spans="26:54" s="2" customFormat="1">
      <c r="Z169" s="412"/>
      <c r="AA169" s="412"/>
      <c r="AB169" s="412"/>
      <c r="AC169" s="412"/>
      <c r="AD169" s="412"/>
      <c r="AE169" s="412"/>
      <c r="AF169" s="412"/>
      <c r="AG169" s="412"/>
      <c r="AH169" s="412"/>
      <c r="AI169" s="412"/>
      <c r="AJ169" s="412"/>
      <c r="AK169" s="412"/>
      <c r="AL169" s="412"/>
      <c r="AM169" s="412"/>
      <c r="AN169" s="412"/>
      <c r="AO169" s="412"/>
      <c r="AP169" s="412"/>
      <c r="AQ169" s="412"/>
      <c r="AR169" s="412"/>
      <c r="AS169" s="412"/>
      <c r="AT169" s="412"/>
      <c r="AU169" s="412"/>
      <c r="AV169" s="412"/>
      <c r="AW169" s="412"/>
      <c r="AX169" s="412"/>
      <c r="AY169" s="412"/>
      <c r="AZ169" s="412"/>
      <c r="BA169" s="412"/>
      <c r="BB169" s="412"/>
    </row>
    <row r="170" spans="26:54" s="2" customFormat="1">
      <c r="Z170" s="412"/>
      <c r="AA170" s="412"/>
      <c r="AB170" s="412"/>
      <c r="AC170" s="412"/>
      <c r="AD170" s="412"/>
      <c r="AE170" s="412"/>
      <c r="AF170" s="412"/>
      <c r="AG170" s="412"/>
      <c r="AH170" s="412"/>
      <c r="AI170" s="412"/>
      <c r="AJ170" s="412"/>
      <c r="AK170" s="412"/>
      <c r="AL170" s="412"/>
      <c r="AM170" s="412"/>
      <c r="AN170" s="412"/>
      <c r="AO170" s="412"/>
      <c r="AP170" s="412"/>
      <c r="AQ170" s="412"/>
      <c r="AR170" s="412"/>
      <c r="AS170" s="412"/>
      <c r="AT170" s="412"/>
      <c r="AU170" s="412"/>
      <c r="AV170" s="412"/>
      <c r="AW170" s="412"/>
      <c r="AX170" s="412"/>
      <c r="AY170" s="412"/>
      <c r="AZ170" s="412"/>
      <c r="BA170" s="412"/>
      <c r="BB170" s="412"/>
    </row>
  </sheetData>
  <sheetProtection sheet="1" objects="1" scenarios="1"/>
  <mergeCells count="6">
    <mergeCell ref="M6:M7"/>
    <mergeCell ref="D13:M13"/>
    <mergeCell ref="D18:M18"/>
    <mergeCell ref="D14:F14"/>
    <mergeCell ref="D15:F15"/>
    <mergeCell ref="D16:F16"/>
  </mergeCells>
  <phoneticPr fontId="5" type="noConversion"/>
  <dataValidations count="2">
    <dataValidation type="list" allowBlank="1" showInputMessage="1" showErrorMessage="1" sqref="D14:F14" xr:uid="{0E14FB94-4887-49B7-8407-BC9411A1E6AC}">
      <formula1>CCAA</formula1>
    </dataValidation>
    <dataValidation type="list" allowBlank="1" showInputMessage="1" showErrorMessage="1" sqref="D13:M13" xr:uid="{1C408152-866B-400B-9658-6B5EE4A5790E}">
      <formula1>EE_DD</formula1>
    </dataValidation>
  </dataValidations>
  <pageMargins left="0.75000000000000011" right="0.75000000000000011" top="1" bottom="1" header="0.5" footer="0.5"/>
  <pageSetup paperSize="9" scale="55" orientation="portrait" horizontalDpi="4294967292" verticalDpi="4294967292" r:id="rId1"/>
  <ignoredErrors>
    <ignoredError sqref="P13" evalError="1"/>
  </ignoredErrors>
  <drawing r:id="rId2"/>
  <tableParts count="2">
    <tablePart r:id="rId3"/>
    <tablePart r:id="rId4"/>
  </tableParts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93E421F-B4F3-47B6-BDF4-2B4F6DC34534}">
  <sheetPr codeName="Hoja10">
    <pageSetUpPr fitToPage="1"/>
  </sheetPr>
  <dimension ref="A2:X107"/>
  <sheetViews>
    <sheetView topLeftCell="A2" zoomScaleNormal="100" workbookViewId="0">
      <selection activeCell="G111" sqref="G111"/>
    </sheetView>
  </sheetViews>
  <sheetFormatPr baseColWidth="10" defaultColWidth="10.6640625" defaultRowHeight="23.1" customHeight="1"/>
  <cols>
    <col min="1" max="1" width="4.109375" style="23" bestFit="1" customWidth="1"/>
    <col min="2" max="2" width="3.109375" style="23" customWidth="1"/>
    <col min="3" max="3" width="9.5546875" style="23" customWidth="1"/>
    <col min="4" max="4" width="5.5546875" style="23" customWidth="1"/>
    <col min="5" max="5" width="69.88671875" style="23" customWidth="1"/>
    <col min="6" max="8" width="18.33203125" style="57" customWidth="1"/>
    <col min="9" max="9" width="3.33203125" style="23" customWidth="1"/>
    <col min="10" max="16384" width="10.6640625" style="23"/>
  </cols>
  <sheetData>
    <row r="2" spans="1:24" ht="23.1" customHeight="1">
      <c r="D2" s="597" t="str">
        <f>_GENERAL!D2</f>
        <v>Área de la Presidenta: Igualdad y Diversidad, Hacienda y Proyectos Estratégicos</v>
      </c>
    </row>
    <row r="3" spans="1:24" ht="23.1" customHeight="1">
      <c r="D3" s="597" t="str">
        <f>_GENERAL!D3</f>
        <v>Dirección Insular de Hacienda</v>
      </c>
    </row>
    <row r="4" spans="1:24" ht="23.1" customHeight="1" thickBot="1">
      <c r="A4" s="23" t="s">
        <v>195</v>
      </c>
    </row>
    <row r="5" spans="1:24" ht="9" customHeight="1">
      <c r="B5" s="25"/>
      <c r="C5" s="26"/>
      <c r="D5" s="26"/>
      <c r="E5" s="26"/>
      <c r="F5" s="58"/>
      <c r="G5" s="58"/>
      <c r="H5" s="58"/>
      <c r="I5" s="27"/>
      <c r="K5" s="746"/>
      <c r="L5" s="747"/>
      <c r="M5" s="747"/>
      <c r="N5" s="747"/>
      <c r="O5" s="747"/>
      <c r="P5" s="747"/>
      <c r="Q5" s="747"/>
      <c r="R5" s="747"/>
      <c r="S5" s="747"/>
      <c r="T5" s="747"/>
      <c r="U5" s="747"/>
      <c r="V5" s="747"/>
      <c r="W5" s="747"/>
      <c r="X5" s="748"/>
    </row>
    <row r="6" spans="1:24" ht="30" customHeight="1">
      <c r="B6" s="28"/>
      <c r="C6" s="1" t="s">
        <v>2</v>
      </c>
      <c r="H6" s="1212">
        <f>ejercicio</f>
        <v>2025</v>
      </c>
      <c r="I6" s="30"/>
      <c r="K6" s="751"/>
      <c r="L6" s="752"/>
      <c r="M6" s="752"/>
      <c r="N6" s="752"/>
      <c r="O6" s="752"/>
      <c r="P6" s="752"/>
      <c r="Q6" s="752"/>
      <c r="R6" s="752"/>
      <c r="S6" s="752"/>
      <c r="T6" s="752"/>
      <c r="U6" s="752"/>
      <c r="V6" s="752"/>
      <c r="W6" s="752"/>
      <c r="X6" s="753"/>
    </row>
    <row r="7" spans="1:24" ht="30" customHeight="1">
      <c r="B7" s="28"/>
      <c r="C7" s="1" t="s">
        <v>3</v>
      </c>
      <c r="H7" s="1212"/>
      <c r="I7" s="30"/>
      <c r="K7" s="754"/>
      <c r="L7" s="755" t="s">
        <v>196</v>
      </c>
      <c r="M7" s="756"/>
      <c r="N7" s="756"/>
      <c r="O7" s="756"/>
      <c r="P7" s="756"/>
      <c r="Q7" s="756"/>
      <c r="R7" s="756"/>
      <c r="S7" s="756"/>
      <c r="T7" s="756"/>
      <c r="U7" s="756"/>
      <c r="V7" s="756"/>
      <c r="W7" s="756"/>
      <c r="X7" s="757"/>
    </row>
    <row r="8" spans="1:24" ht="30" customHeight="1">
      <c r="B8" s="28"/>
      <c r="C8" s="29"/>
      <c r="H8" s="59"/>
      <c r="I8" s="30"/>
      <c r="K8" s="754"/>
      <c r="L8" s="756"/>
      <c r="M8" s="756"/>
      <c r="N8" s="756"/>
      <c r="O8" s="756"/>
      <c r="P8" s="756"/>
      <c r="Q8" s="756"/>
      <c r="R8" s="756"/>
      <c r="S8" s="756"/>
      <c r="T8" s="756"/>
      <c r="U8" s="756"/>
      <c r="V8" s="756"/>
      <c r="W8" s="756"/>
      <c r="X8" s="757"/>
    </row>
    <row r="9" spans="1:24" s="36" customFormat="1" ht="30" customHeight="1">
      <c r="A9" s="412"/>
      <c r="B9" s="874"/>
      <c r="C9" s="20" t="s">
        <v>105</v>
      </c>
      <c r="D9" s="1229" t="str">
        <f>Entidad</f>
        <v>(MERCATENERIFE) Mercados Centrales de Abastecimiento de Tenerife, S.A.</v>
      </c>
      <c r="E9" s="1229"/>
      <c r="F9" s="1229"/>
      <c r="G9" s="1229"/>
      <c r="H9" s="1229"/>
      <c r="I9" s="875"/>
      <c r="J9" s="412"/>
      <c r="K9" s="751"/>
      <c r="L9" s="752"/>
      <c r="M9" s="752"/>
      <c r="N9" s="752"/>
      <c r="O9" s="752"/>
      <c r="P9" s="752"/>
      <c r="Q9" s="752"/>
      <c r="R9" s="752"/>
      <c r="S9" s="752"/>
      <c r="T9" s="752"/>
      <c r="U9" s="752"/>
      <c r="V9" s="752"/>
      <c r="W9" s="752"/>
      <c r="X9" s="753"/>
    </row>
    <row r="10" spans="1:24" ht="6.95" customHeight="1">
      <c r="B10" s="28"/>
      <c r="I10" s="30"/>
      <c r="K10" s="751"/>
      <c r="L10" s="752"/>
      <c r="M10" s="752"/>
      <c r="N10" s="752"/>
      <c r="O10" s="752"/>
      <c r="P10" s="752"/>
      <c r="Q10" s="752"/>
      <c r="R10" s="752"/>
      <c r="S10" s="752"/>
      <c r="T10" s="752"/>
      <c r="U10" s="752"/>
      <c r="V10" s="752"/>
      <c r="W10" s="752"/>
      <c r="X10" s="753"/>
    </row>
    <row r="11" spans="1:24" s="38" customFormat="1" ht="30" customHeight="1">
      <c r="B11" s="10"/>
      <c r="C11" s="4" t="s">
        <v>667</v>
      </c>
      <c r="D11" s="4"/>
      <c r="E11" s="4"/>
      <c r="F11" s="60"/>
      <c r="G11" s="60"/>
      <c r="H11" s="60"/>
      <c r="I11" s="37"/>
      <c r="K11" s="751"/>
      <c r="L11" s="752"/>
      <c r="M11" s="752"/>
      <c r="N11" s="752"/>
      <c r="O11" s="752"/>
      <c r="P11" s="752"/>
      <c r="Q11" s="752"/>
      <c r="R11" s="752"/>
      <c r="S11" s="752"/>
      <c r="T11" s="752"/>
      <c r="U11" s="752"/>
      <c r="V11" s="752"/>
      <c r="W11" s="752"/>
      <c r="X11" s="753"/>
    </row>
    <row r="12" spans="1:24" s="38" customFormat="1" ht="30" customHeight="1">
      <c r="B12" s="10"/>
      <c r="C12" s="413" t="str">
        <f>IF(_GENERAL!D14&lt;&gt;"Normal","No aplica a empresas que presentan cuentas en modelo abreviado o PyMES","")</f>
        <v>No aplica a empresas que presentan cuentas en modelo abreviado o PyMES</v>
      </c>
      <c r="F12" s="61"/>
      <c r="G12" s="61"/>
      <c r="H12" s="61"/>
      <c r="I12" s="37"/>
      <c r="K12" s="751"/>
      <c r="L12" s="752"/>
      <c r="M12" s="752"/>
      <c r="N12" s="752"/>
      <c r="O12" s="752"/>
      <c r="P12" s="752"/>
      <c r="Q12" s="752"/>
      <c r="R12" s="752"/>
      <c r="S12" s="752"/>
      <c r="T12" s="752"/>
      <c r="U12" s="752"/>
      <c r="V12" s="752"/>
      <c r="W12" s="752"/>
      <c r="X12" s="753"/>
    </row>
    <row r="13" spans="1:24" ht="23.1" customHeight="1">
      <c r="B13" s="28"/>
      <c r="C13" s="240"/>
      <c r="D13" s="241"/>
      <c r="E13" s="241"/>
      <c r="F13" s="217" t="s">
        <v>322</v>
      </c>
      <c r="G13" s="218" t="s">
        <v>324</v>
      </c>
      <c r="H13" s="219" t="s">
        <v>325</v>
      </c>
      <c r="I13" s="30"/>
      <c r="K13" s="751"/>
      <c r="L13" s="752"/>
      <c r="M13" s="752"/>
      <c r="N13" s="752"/>
      <c r="O13" s="752"/>
      <c r="P13" s="752"/>
      <c r="Q13" s="752"/>
      <c r="R13" s="752"/>
      <c r="S13" s="752"/>
      <c r="T13" s="752"/>
      <c r="U13" s="752"/>
      <c r="V13" s="752"/>
      <c r="W13" s="752"/>
      <c r="X13" s="753"/>
    </row>
    <row r="14" spans="1:24" ht="23.1" customHeight="1">
      <c r="B14" s="28"/>
      <c r="C14" s="246"/>
      <c r="D14" s="247"/>
      <c r="E14" s="247"/>
      <c r="F14" s="203">
        <f>ejercicio-2</f>
        <v>2023</v>
      </c>
      <c r="G14" s="209">
        <f>ejercicio-1</f>
        <v>2024</v>
      </c>
      <c r="H14" s="202">
        <f>ejercicio</f>
        <v>2025</v>
      </c>
      <c r="I14" s="30"/>
      <c r="K14" s="751"/>
      <c r="L14" s="752"/>
      <c r="M14" s="752"/>
      <c r="N14" s="752"/>
      <c r="O14" s="752"/>
      <c r="P14" s="752"/>
      <c r="Q14" s="752"/>
      <c r="R14" s="752"/>
      <c r="S14" s="752"/>
      <c r="T14" s="752"/>
      <c r="U14" s="752"/>
      <c r="V14" s="752"/>
      <c r="W14" s="752"/>
      <c r="X14" s="753"/>
    </row>
    <row r="15" spans="1:24" ht="23.1" customHeight="1">
      <c r="B15" s="28"/>
      <c r="C15" s="242" t="s">
        <v>668</v>
      </c>
      <c r="D15" s="55"/>
      <c r="E15" s="54"/>
      <c r="F15" s="248"/>
      <c r="G15" s="248"/>
      <c r="H15" s="248"/>
      <c r="I15" s="30"/>
      <c r="K15" s="751"/>
      <c r="L15" s="752"/>
      <c r="M15" s="752"/>
      <c r="N15" s="752"/>
      <c r="O15" s="752"/>
      <c r="P15" s="752"/>
      <c r="Q15" s="752"/>
      <c r="R15" s="752"/>
      <c r="S15" s="752"/>
      <c r="T15" s="752"/>
      <c r="U15" s="752"/>
      <c r="V15" s="752"/>
      <c r="W15" s="752"/>
      <c r="X15" s="753"/>
    </row>
    <row r="16" spans="1:24" ht="23.1" customHeight="1">
      <c r="B16" s="28"/>
      <c r="C16" s="243" t="s">
        <v>669</v>
      </c>
      <c r="D16" s="43"/>
      <c r="E16" s="42"/>
      <c r="F16" s="249">
        <f>'FC-3_CPyG'!E93</f>
        <v>5022513.0100000007</v>
      </c>
      <c r="G16" s="249">
        <f>'FC-3_CPyG'!G93</f>
        <v>1718047.4200000006</v>
      </c>
      <c r="H16" s="249">
        <f>'FC-3_CPyG'!H93</f>
        <v>1610573.64</v>
      </c>
      <c r="I16" s="30"/>
      <c r="K16" s="751"/>
      <c r="L16" s="752"/>
      <c r="M16" s="752"/>
      <c r="N16" s="752"/>
      <c r="O16" s="752"/>
      <c r="P16" s="752"/>
      <c r="Q16" s="752"/>
      <c r="R16" s="752"/>
      <c r="S16" s="752"/>
      <c r="T16" s="752"/>
      <c r="U16" s="752"/>
      <c r="V16" s="752"/>
      <c r="W16" s="752"/>
      <c r="X16" s="753"/>
    </row>
    <row r="17" spans="2:24" ht="23.1" customHeight="1">
      <c r="B17" s="28"/>
      <c r="C17" s="243" t="s">
        <v>670</v>
      </c>
      <c r="D17" s="43"/>
      <c r="E17" s="42"/>
      <c r="F17" s="249">
        <f>SUM(F18:F28)</f>
        <v>0</v>
      </c>
      <c r="G17" s="249">
        <f>SUM(G18:G28)</f>
        <v>0</v>
      </c>
      <c r="H17" s="249">
        <f>SUM(H18:H28)</f>
        <v>0</v>
      </c>
      <c r="I17" s="30"/>
      <c r="K17" s="751"/>
      <c r="L17" s="752"/>
      <c r="M17" s="752"/>
      <c r="N17" s="752"/>
      <c r="O17" s="752"/>
      <c r="P17" s="752"/>
      <c r="Q17" s="752"/>
      <c r="R17" s="752"/>
      <c r="S17" s="752"/>
      <c r="T17" s="752"/>
      <c r="U17" s="752"/>
      <c r="V17" s="752"/>
      <c r="W17" s="752"/>
      <c r="X17" s="753"/>
    </row>
    <row r="18" spans="2:24" ht="23.1" customHeight="1">
      <c r="B18" s="28"/>
      <c r="C18" s="968"/>
      <c r="D18" s="630" t="s">
        <v>671</v>
      </c>
      <c r="E18" s="630"/>
      <c r="F18" s="969"/>
      <c r="G18" s="969"/>
      <c r="H18" s="969"/>
      <c r="I18" s="30"/>
      <c r="K18" s="751"/>
      <c r="L18" s="752"/>
      <c r="M18" s="752"/>
      <c r="N18" s="752"/>
      <c r="O18" s="752"/>
      <c r="P18" s="752"/>
      <c r="Q18" s="752"/>
      <c r="R18" s="752"/>
      <c r="S18" s="752"/>
      <c r="T18" s="752"/>
      <c r="U18" s="752"/>
      <c r="V18" s="752"/>
      <c r="W18" s="752"/>
      <c r="X18" s="753"/>
    </row>
    <row r="19" spans="2:24" ht="23.1" customHeight="1">
      <c r="B19" s="28"/>
      <c r="C19" s="968"/>
      <c r="D19" s="630" t="s">
        <v>672</v>
      </c>
      <c r="E19" s="630"/>
      <c r="F19" s="969"/>
      <c r="G19" s="969"/>
      <c r="H19" s="969"/>
      <c r="I19" s="30"/>
      <c r="K19" s="751"/>
      <c r="L19" s="752"/>
      <c r="M19" s="752"/>
      <c r="N19" s="752"/>
      <c r="O19" s="752"/>
      <c r="P19" s="752"/>
      <c r="Q19" s="752"/>
      <c r="R19" s="752"/>
      <c r="S19" s="752"/>
      <c r="T19" s="752"/>
      <c r="U19" s="752"/>
      <c r="V19" s="752"/>
      <c r="W19" s="752"/>
      <c r="X19" s="753"/>
    </row>
    <row r="20" spans="2:24" ht="23.1" customHeight="1">
      <c r="B20" s="28"/>
      <c r="C20" s="968"/>
      <c r="D20" s="630" t="s">
        <v>673</v>
      </c>
      <c r="E20" s="630"/>
      <c r="F20" s="969"/>
      <c r="G20" s="969"/>
      <c r="H20" s="969"/>
      <c r="I20" s="30"/>
      <c r="K20" s="751"/>
      <c r="L20" s="752"/>
      <c r="M20" s="752"/>
      <c r="N20" s="752"/>
      <c r="O20" s="752"/>
      <c r="P20" s="752"/>
      <c r="Q20" s="752"/>
      <c r="R20" s="752"/>
      <c r="S20" s="752"/>
      <c r="T20" s="752"/>
      <c r="U20" s="752"/>
      <c r="V20" s="752"/>
      <c r="W20" s="752"/>
      <c r="X20" s="753"/>
    </row>
    <row r="21" spans="2:24" ht="23.1" customHeight="1">
      <c r="B21" s="28"/>
      <c r="C21" s="968"/>
      <c r="D21" s="630" t="s">
        <v>674</v>
      </c>
      <c r="E21" s="630"/>
      <c r="F21" s="969"/>
      <c r="G21" s="969"/>
      <c r="H21" s="969"/>
      <c r="I21" s="30"/>
      <c r="K21" s="751"/>
      <c r="L21" s="752"/>
      <c r="M21" s="752"/>
      <c r="N21" s="752"/>
      <c r="O21" s="752"/>
      <c r="P21" s="752"/>
      <c r="Q21" s="752"/>
      <c r="R21" s="752"/>
      <c r="S21" s="752"/>
      <c r="T21" s="752"/>
      <c r="U21" s="752"/>
      <c r="V21" s="752"/>
      <c r="W21" s="752"/>
      <c r="X21" s="753"/>
    </row>
    <row r="22" spans="2:24" ht="23.1" customHeight="1">
      <c r="B22" s="28"/>
      <c r="C22" s="968"/>
      <c r="D22" s="630" t="s">
        <v>675</v>
      </c>
      <c r="E22" s="630"/>
      <c r="F22" s="969"/>
      <c r="G22" s="969"/>
      <c r="H22" s="969"/>
      <c r="I22" s="30"/>
      <c r="K22" s="751"/>
      <c r="L22" s="752"/>
      <c r="M22" s="752"/>
      <c r="N22" s="752"/>
      <c r="O22" s="752"/>
      <c r="P22" s="752"/>
      <c r="Q22" s="752"/>
      <c r="R22" s="752"/>
      <c r="S22" s="752"/>
      <c r="T22" s="752"/>
      <c r="U22" s="752"/>
      <c r="V22" s="752"/>
      <c r="W22" s="752"/>
      <c r="X22" s="753"/>
    </row>
    <row r="23" spans="2:24" ht="23.1" customHeight="1">
      <c r="B23" s="28"/>
      <c r="C23" s="968"/>
      <c r="D23" s="630" t="s">
        <v>676</v>
      </c>
      <c r="E23" s="630"/>
      <c r="F23" s="969"/>
      <c r="G23" s="969"/>
      <c r="H23" s="969"/>
      <c r="I23" s="30"/>
      <c r="K23" s="751"/>
      <c r="L23" s="752"/>
      <c r="M23" s="752"/>
      <c r="N23" s="752"/>
      <c r="O23" s="752"/>
      <c r="P23" s="752"/>
      <c r="Q23" s="752"/>
      <c r="R23" s="752"/>
      <c r="S23" s="752"/>
      <c r="T23" s="752"/>
      <c r="U23" s="752"/>
      <c r="V23" s="752"/>
      <c r="W23" s="752"/>
      <c r="X23" s="753"/>
    </row>
    <row r="24" spans="2:24" ht="23.1" customHeight="1">
      <c r="B24" s="28"/>
      <c r="C24" s="968"/>
      <c r="D24" s="630" t="s">
        <v>677</v>
      </c>
      <c r="E24" s="630"/>
      <c r="F24" s="969"/>
      <c r="G24" s="969"/>
      <c r="H24" s="969"/>
      <c r="I24" s="30"/>
      <c r="K24" s="751"/>
      <c r="L24" s="752"/>
      <c r="M24" s="752"/>
      <c r="N24" s="752"/>
      <c r="O24" s="752"/>
      <c r="P24" s="752"/>
      <c r="Q24" s="752"/>
      <c r="R24" s="752"/>
      <c r="S24" s="752"/>
      <c r="T24" s="752"/>
      <c r="U24" s="752"/>
      <c r="V24" s="752"/>
      <c r="W24" s="752"/>
      <c r="X24" s="753"/>
    </row>
    <row r="25" spans="2:24" ht="23.1" customHeight="1">
      <c r="B25" s="28"/>
      <c r="C25" s="968"/>
      <c r="D25" s="630" t="s">
        <v>678</v>
      </c>
      <c r="E25" s="630"/>
      <c r="F25" s="969"/>
      <c r="G25" s="969"/>
      <c r="H25" s="969"/>
      <c r="I25" s="30"/>
      <c r="K25" s="751"/>
      <c r="L25" s="752"/>
      <c r="M25" s="752"/>
      <c r="N25" s="752"/>
      <c r="O25" s="752"/>
      <c r="P25" s="752"/>
      <c r="Q25" s="752"/>
      <c r="R25" s="752"/>
      <c r="S25" s="752"/>
      <c r="T25" s="752"/>
      <c r="U25" s="752"/>
      <c r="V25" s="752"/>
      <c r="W25" s="752"/>
      <c r="X25" s="753"/>
    </row>
    <row r="26" spans="2:24" ht="23.1" customHeight="1">
      <c r="B26" s="28"/>
      <c r="C26" s="968"/>
      <c r="D26" s="630" t="s">
        <v>679</v>
      </c>
      <c r="E26" s="630"/>
      <c r="F26" s="969"/>
      <c r="G26" s="969"/>
      <c r="H26" s="969"/>
      <c r="I26" s="30"/>
      <c r="K26" s="758"/>
      <c r="L26" s="759"/>
      <c r="M26" s="759"/>
      <c r="N26" s="759"/>
      <c r="O26" s="759"/>
      <c r="P26" s="759"/>
      <c r="Q26" s="759"/>
      <c r="R26" s="759"/>
      <c r="S26" s="759"/>
      <c r="T26" s="759"/>
      <c r="U26" s="759"/>
      <c r="V26" s="759"/>
      <c r="W26" s="759"/>
      <c r="X26" s="760"/>
    </row>
    <row r="27" spans="2:24" ht="23.1" customHeight="1">
      <c r="B27" s="28"/>
      <c r="C27" s="968"/>
      <c r="D27" s="630" t="s">
        <v>680</v>
      </c>
      <c r="E27" s="630"/>
      <c r="F27" s="969"/>
      <c r="G27" s="969"/>
      <c r="H27" s="969"/>
      <c r="I27" s="30"/>
      <c r="K27" s="758"/>
      <c r="L27" s="759"/>
      <c r="M27" s="759"/>
      <c r="N27" s="759"/>
      <c r="O27" s="759"/>
      <c r="P27" s="759"/>
      <c r="Q27" s="759"/>
      <c r="R27" s="759"/>
      <c r="S27" s="759"/>
      <c r="T27" s="759"/>
      <c r="U27" s="759"/>
      <c r="V27" s="759"/>
      <c r="W27" s="759"/>
      <c r="X27" s="760"/>
    </row>
    <row r="28" spans="2:24" ht="23.1" customHeight="1">
      <c r="B28" s="28"/>
      <c r="C28" s="968"/>
      <c r="D28" s="630" t="s">
        <v>681</v>
      </c>
      <c r="E28" s="630"/>
      <c r="F28" s="969"/>
      <c r="G28" s="969"/>
      <c r="H28" s="969"/>
      <c r="I28" s="30"/>
      <c r="K28" s="751"/>
      <c r="L28" s="752"/>
      <c r="M28" s="752"/>
      <c r="N28" s="752"/>
      <c r="O28" s="752"/>
      <c r="P28" s="752"/>
      <c r="Q28" s="752"/>
      <c r="R28" s="752"/>
      <c r="S28" s="752"/>
      <c r="T28" s="752"/>
      <c r="U28" s="752"/>
      <c r="V28" s="752"/>
      <c r="W28" s="752"/>
      <c r="X28" s="753"/>
    </row>
    <row r="29" spans="2:24" ht="23.1" customHeight="1">
      <c r="B29" s="28"/>
      <c r="C29" s="243" t="s">
        <v>682</v>
      </c>
      <c r="D29" s="43"/>
      <c r="E29" s="42"/>
      <c r="F29" s="249">
        <f>SUM(F30:F35)</f>
        <v>0</v>
      </c>
      <c r="G29" s="249">
        <f>SUM(G30:G35)</f>
        <v>0</v>
      </c>
      <c r="H29" s="249">
        <f>SUM(H30:H35)</f>
        <v>0</v>
      </c>
      <c r="I29" s="30"/>
      <c r="K29" s="751"/>
      <c r="L29" s="752"/>
      <c r="M29" s="752"/>
      <c r="N29" s="752"/>
      <c r="O29" s="752"/>
      <c r="P29" s="752"/>
      <c r="Q29" s="752"/>
      <c r="R29" s="752"/>
      <c r="S29" s="752"/>
      <c r="T29" s="752"/>
      <c r="U29" s="752"/>
      <c r="V29" s="752"/>
      <c r="W29" s="752"/>
      <c r="X29" s="753"/>
    </row>
    <row r="30" spans="2:24" ht="23.1" customHeight="1">
      <c r="B30" s="28"/>
      <c r="C30" s="968"/>
      <c r="D30" s="630" t="s">
        <v>683</v>
      </c>
      <c r="E30" s="630"/>
      <c r="F30" s="969"/>
      <c r="G30" s="969"/>
      <c r="H30" s="969"/>
      <c r="I30" s="30"/>
      <c r="K30" s="751"/>
      <c r="L30" s="752"/>
      <c r="M30" s="752"/>
      <c r="N30" s="752"/>
      <c r="O30" s="752"/>
      <c r="P30" s="752"/>
      <c r="Q30" s="752"/>
      <c r="R30" s="752"/>
      <c r="S30" s="752"/>
      <c r="T30" s="752"/>
      <c r="U30" s="752"/>
      <c r="V30" s="752"/>
      <c r="W30" s="752"/>
      <c r="X30" s="753"/>
    </row>
    <row r="31" spans="2:24" ht="23.1" customHeight="1">
      <c r="B31" s="28"/>
      <c r="C31" s="968"/>
      <c r="D31" s="630" t="s">
        <v>684</v>
      </c>
      <c r="E31" s="630"/>
      <c r="F31" s="969"/>
      <c r="G31" s="969"/>
      <c r="H31" s="969"/>
      <c r="I31" s="30"/>
      <c r="K31" s="751"/>
      <c r="L31" s="752"/>
      <c r="M31" s="752"/>
      <c r="N31" s="752"/>
      <c r="O31" s="752"/>
      <c r="P31" s="752"/>
      <c r="Q31" s="752"/>
      <c r="R31" s="752"/>
      <c r="S31" s="752"/>
      <c r="T31" s="752"/>
      <c r="U31" s="752"/>
      <c r="V31" s="752"/>
      <c r="W31" s="752"/>
      <c r="X31" s="753"/>
    </row>
    <row r="32" spans="2:24" ht="23.1" customHeight="1">
      <c r="B32" s="28"/>
      <c r="C32" s="968"/>
      <c r="D32" s="630" t="s">
        <v>685</v>
      </c>
      <c r="E32" s="630"/>
      <c r="F32" s="969"/>
      <c r="G32" s="969"/>
      <c r="H32" s="969"/>
      <c r="I32" s="30"/>
      <c r="K32" s="761"/>
      <c r="L32" s="762"/>
      <c r="M32" s="762"/>
      <c r="N32" s="762"/>
      <c r="O32" s="762"/>
      <c r="P32" s="762"/>
      <c r="Q32" s="762"/>
      <c r="R32" s="762"/>
      <c r="S32" s="762"/>
      <c r="T32" s="762"/>
      <c r="U32" s="762"/>
      <c r="V32" s="762"/>
      <c r="W32" s="762"/>
      <c r="X32" s="763"/>
    </row>
    <row r="33" spans="2:24" ht="23.1" customHeight="1">
      <c r="B33" s="28"/>
      <c r="C33" s="968"/>
      <c r="D33" s="630" t="s">
        <v>686</v>
      </c>
      <c r="E33" s="630"/>
      <c r="F33" s="969"/>
      <c r="G33" s="969"/>
      <c r="H33" s="969"/>
      <c r="I33" s="30"/>
      <c r="K33" s="761"/>
      <c r="L33" s="762"/>
      <c r="M33" s="762"/>
      <c r="N33" s="762"/>
      <c r="O33" s="762"/>
      <c r="P33" s="762"/>
      <c r="Q33" s="762"/>
      <c r="R33" s="762"/>
      <c r="S33" s="762"/>
      <c r="T33" s="762"/>
      <c r="U33" s="762"/>
      <c r="V33" s="762"/>
      <c r="W33" s="762"/>
      <c r="X33" s="763"/>
    </row>
    <row r="34" spans="2:24" ht="23.1" customHeight="1">
      <c r="B34" s="28"/>
      <c r="C34" s="968"/>
      <c r="D34" s="630" t="s">
        <v>687</v>
      </c>
      <c r="E34" s="630"/>
      <c r="F34" s="969"/>
      <c r="G34" s="969"/>
      <c r="H34" s="969"/>
      <c r="I34" s="30"/>
      <c r="K34" s="761"/>
      <c r="L34" s="762"/>
      <c r="M34" s="762"/>
      <c r="N34" s="762"/>
      <c r="O34" s="762"/>
      <c r="P34" s="762"/>
      <c r="Q34" s="762"/>
      <c r="R34" s="762"/>
      <c r="S34" s="762"/>
      <c r="T34" s="762"/>
      <c r="U34" s="762"/>
      <c r="V34" s="762"/>
      <c r="W34" s="762"/>
      <c r="X34" s="763"/>
    </row>
    <row r="35" spans="2:24" ht="23.1" customHeight="1">
      <c r="B35" s="28"/>
      <c r="C35" s="968"/>
      <c r="D35" s="630" t="s">
        <v>688</v>
      </c>
      <c r="E35" s="630"/>
      <c r="F35" s="969"/>
      <c r="G35" s="969"/>
      <c r="H35" s="969"/>
      <c r="I35" s="30"/>
      <c r="K35" s="761"/>
      <c r="L35" s="762"/>
      <c r="M35" s="762"/>
      <c r="N35" s="762"/>
      <c r="O35" s="762"/>
      <c r="P35" s="762"/>
      <c r="Q35" s="762"/>
      <c r="R35" s="762"/>
      <c r="S35" s="762"/>
      <c r="T35" s="762"/>
      <c r="U35" s="762"/>
      <c r="V35" s="762"/>
      <c r="W35" s="762"/>
      <c r="X35" s="763"/>
    </row>
    <row r="36" spans="2:24" ht="23.1" customHeight="1">
      <c r="B36" s="28"/>
      <c r="C36" s="243" t="s">
        <v>689</v>
      </c>
      <c r="D36" s="43"/>
      <c r="E36" s="42"/>
      <c r="F36" s="249">
        <f>SUM(F37:F41)</f>
        <v>0</v>
      </c>
      <c r="G36" s="249">
        <f>SUM(G37:G41)</f>
        <v>0</v>
      </c>
      <c r="H36" s="249">
        <f>SUM(H37:H41)</f>
        <v>0</v>
      </c>
      <c r="I36" s="30"/>
      <c r="K36" s="761"/>
      <c r="L36" s="762"/>
      <c r="M36" s="762"/>
      <c r="N36" s="762"/>
      <c r="O36" s="762"/>
      <c r="P36" s="762"/>
      <c r="Q36" s="762"/>
      <c r="R36" s="762"/>
      <c r="S36" s="762"/>
      <c r="T36" s="762"/>
      <c r="U36" s="762"/>
      <c r="V36" s="762"/>
      <c r="W36" s="762"/>
      <c r="X36" s="763"/>
    </row>
    <row r="37" spans="2:24" ht="23.1" customHeight="1">
      <c r="B37" s="28"/>
      <c r="C37" s="968"/>
      <c r="D37" s="630" t="s">
        <v>690</v>
      </c>
      <c r="E37" s="630"/>
      <c r="F37" s="969"/>
      <c r="G37" s="969"/>
      <c r="H37" s="969"/>
      <c r="I37" s="30"/>
      <c r="K37" s="761"/>
      <c r="L37" s="762"/>
      <c r="M37" s="762"/>
      <c r="N37" s="762"/>
      <c r="O37" s="762"/>
      <c r="P37" s="762"/>
      <c r="Q37" s="762"/>
      <c r="R37" s="762"/>
      <c r="S37" s="762"/>
      <c r="T37" s="762"/>
      <c r="U37" s="762"/>
      <c r="V37" s="762"/>
      <c r="W37" s="762"/>
      <c r="X37" s="763"/>
    </row>
    <row r="38" spans="2:24" ht="23.1" customHeight="1">
      <c r="B38" s="28"/>
      <c r="C38" s="968"/>
      <c r="D38" s="630" t="s">
        <v>691</v>
      </c>
      <c r="E38" s="630"/>
      <c r="F38" s="969"/>
      <c r="G38" s="969"/>
      <c r="H38" s="969"/>
      <c r="I38" s="30"/>
      <c r="K38" s="761"/>
      <c r="L38" s="762"/>
      <c r="M38" s="762"/>
      <c r="N38" s="762"/>
      <c r="O38" s="762"/>
      <c r="P38" s="762"/>
      <c r="Q38" s="762"/>
      <c r="R38" s="762"/>
      <c r="S38" s="762"/>
      <c r="T38" s="762"/>
      <c r="U38" s="762"/>
      <c r="V38" s="762"/>
      <c r="W38" s="762"/>
      <c r="X38" s="763"/>
    </row>
    <row r="39" spans="2:24" ht="23.1" customHeight="1">
      <c r="B39" s="28"/>
      <c r="C39" s="968"/>
      <c r="D39" s="630" t="s">
        <v>692</v>
      </c>
      <c r="E39" s="630"/>
      <c r="F39" s="969"/>
      <c r="G39" s="969"/>
      <c r="H39" s="969"/>
      <c r="I39" s="30"/>
      <c r="K39" s="761"/>
      <c r="L39" s="762"/>
      <c r="M39" s="762"/>
      <c r="N39" s="762"/>
      <c r="O39" s="762"/>
      <c r="P39" s="762"/>
      <c r="Q39" s="762"/>
      <c r="R39" s="762"/>
      <c r="S39" s="762"/>
      <c r="T39" s="762"/>
      <c r="U39" s="762"/>
      <c r="V39" s="762"/>
      <c r="W39" s="762"/>
      <c r="X39" s="763"/>
    </row>
    <row r="40" spans="2:24" ht="23.1" customHeight="1">
      <c r="B40" s="28"/>
      <c r="C40" s="968"/>
      <c r="D40" s="630" t="s">
        <v>693</v>
      </c>
      <c r="E40" s="630"/>
      <c r="F40" s="969"/>
      <c r="G40" s="969"/>
      <c r="H40" s="969"/>
      <c r="I40" s="30"/>
      <c r="K40" s="761"/>
      <c r="L40" s="762"/>
      <c r="M40" s="762"/>
      <c r="N40" s="762"/>
      <c r="O40" s="762"/>
      <c r="P40" s="762"/>
      <c r="Q40" s="762"/>
      <c r="R40" s="762"/>
      <c r="S40" s="762"/>
      <c r="T40" s="762"/>
      <c r="U40" s="762"/>
      <c r="V40" s="762"/>
      <c r="W40" s="762"/>
      <c r="X40" s="763"/>
    </row>
    <row r="41" spans="2:24" ht="23.1" customHeight="1">
      <c r="B41" s="28"/>
      <c r="C41" s="968"/>
      <c r="D41" s="630" t="s">
        <v>694</v>
      </c>
      <c r="E41" s="630"/>
      <c r="F41" s="969"/>
      <c r="G41" s="969"/>
      <c r="H41" s="969"/>
      <c r="I41" s="30"/>
      <c r="K41" s="761"/>
      <c r="L41" s="762"/>
      <c r="M41" s="762"/>
      <c r="N41" s="762"/>
      <c r="O41" s="762"/>
      <c r="P41" s="762"/>
      <c r="Q41" s="762"/>
      <c r="R41" s="762"/>
      <c r="S41" s="762"/>
      <c r="T41" s="762"/>
      <c r="U41" s="762"/>
      <c r="V41" s="762"/>
      <c r="W41" s="762"/>
      <c r="X41" s="763"/>
    </row>
    <row r="42" spans="2:24" ht="23.1" customHeight="1" thickBot="1">
      <c r="B42" s="28"/>
      <c r="C42" s="244" t="s">
        <v>695</v>
      </c>
      <c r="D42" s="52"/>
      <c r="E42" s="52"/>
      <c r="F42" s="250">
        <f>F16+F17+F29+F36</f>
        <v>5022513.0100000007</v>
      </c>
      <c r="G42" s="250">
        <f>G16+G17+G29+G36</f>
        <v>1718047.4200000006</v>
      </c>
      <c r="H42" s="250">
        <f>H16+H17+H29+H36</f>
        <v>1610573.64</v>
      </c>
      <c r="I42" s="30"/>
      <c r="K42" s="761"/>
      <c r="L42" s="762"/>
      <c r="M42" s="762"/>
      <c r="N42" s="762"/>
      <c r="O42" s="762"/>
      <c r="P42" s="762"/>
      <c r="Q42" s="762"/>
      <c r="R42" s="762"/>
      <c r="S42" s="762"/>
      <c r="T42" s="762"/>
      <c r="U42" s="762"/>
      <c r="V42" s="762"/>
      <c r="W42" s="762"/>
      <c r="X42" s="763"/>
    </row>
    <row r="43" spans="2:24" ht="23.1" customHeight="1">
      <c r="B43" s="28"/>
      <c r="C43" s="968"/>
      <c r="D43" s="412"/>
      <c r="E43" s="412"/>
      <c r="F43" s="248"/>
      <c r="G43" s="248"/>
      <c r="H43" s="248"/>
      <c r="I43" s="30"/>
      <c r="K43" s="761"/>
      <c r="L43" s="762"/>
      <c r="M43" s="762"/>
      <c r="N43" s="762"/>
      <c r="O43" s="762"/>
      <c r="P43" s="762"/>
      <c r="Q43" s="762"/>
      <c r="R43" s="762"/>
      <c r="S43" s="762"/>
      <c r="T43" s="762"/>
      <c r="U43" s="762"/>
      <c r="V43" s="762"/>
      <c r="W43" s="762"/>
      <c r="X43" s="763"/>
    </row>
    <row r="44" spans="2:24" ht="23.1" customHeight="1">
      <c r="B44" s="28"/>
      <c r="C44" s="242" t="s">
        <v>696</v>
      </c>
      <c r="D44" s="55"/>
      <c r="E44" s="54"/>
      <c r="F44" s="248"/>
      <c r="G44" s="248"/>
      <c r="H44" s="248"/>
      <c r="I44" s="30"/>
      <c r="K44" s="761"/>
      <c r="L44" s="762"/>
      <c r="M44" s="762"/>
      <c r="N44" s="762"/>
      <c r="O44" s="762"/>
      <c r="P44" s="762"/>
      <c r="Q44" s="762"/>
      <c r="R44" s="762"/>
      <c r="S44" s="762"/>
      <c r="T44" s="762"/>
      <c r="U44" s="762"/>
      <c r="V44" s="762"/>
      <c r="W44" s="762"/>
      <c r="X44" s="763"/>
    </row>
    <row r="45" spans="2:24" ht="23.1" customHeight="1">
      <c r="B45" s="28"/>
      <c r="C45" s="243" t="s">
        <v>697</v>
      </c>
      <c r="D45" s="43"/>
      <c r="E45" s="42"/>
      <c r="F45" s="249">
        <f>SUM(F46:F53)</f>
        <v>0</v>
      </c>
      <c r="G45" s="249">
        <f>SUM(G46:G53)</f>
        <v>0</v>
      </c>
      <c r="H45" s="249">
        <f>SUM(H46:H53)</f>
        <v>0</v>
      </c>
      <c r="I45" s="30"/>
      <c r="K45" s="761"/>
      <c r="L45" s="762"/>
      <c r="M45" s="762"/>
      <c r="N45" s="762"/>
      <c r="O45" s="762"/>
      <c r="P45" s="762"/>
      <c r="Q45" s="762"/>
      <c r="R45" s="762"/>
      <c r="S45" s="762"/>
      <c r="T45" s="762"/>
      <c r="U45" s="762"/>
      <c r="V45" s="762"/>
      <c r="W45" s="762"/>
      <c r="X45" s="763"/>
    </row>
    <row r="46" spans="2:24" ht="23.1" customHeight="1">
      <c r="B46" s="28"/>
      <c r="C46" s="968"/>
      <c r="D46" s="630" t="s">
        <v>698</v>
      </c>
      <c r="E46" s="630"/>
      <c r="F46" s="969"/>
      <c r="G46" s="969"/>
      <c r="H46" s="969"/>
      <c r="I46" s="30"/>
      <c r="K46" s="761"/>
      <c r="L46" s="762"/>
      <c r="M46" s="762"/>
      <c r="N46" s="762"/>
      <c r="O46" s="762"/>
      <c r="P46" s="762"/>
      <c r="Q46" s="762"/>
      <c r="R46" s="762"/>
      <c r="S46" s="762"/>
      <c r="T46" s="762"/>
      <c r="U46" s="762"/>
      <c r="V46" s="762"/>
      <c r="W46" s="762"/>
      <c r="X46" s="763"/>
    </row>
    <row r="47" spans="2:24" ht="23.1" customHeight="1">
      <c r="B47" s="28"/>
      <c r="C47" s="968"/>
      <c r="D47" s="630" t="s">
        <v>699</v>
      </c>
      <c r="E47" s="630"/>
      <c r="F47" s="969"/>
      <c r="G47" s="969"/>
      <c r="H47" s="969"/>
      <c r="I47" s="30"/>
      <c r="K47" s="761"/>
      <c r="L47" s="762"/>
      <c r="M47" s="762"/>
      <c r="N47" s="762"/>
      <c r="O47" s="762"/>
      <c r="P47" s="762"/>
      <c r="Q47" s="762"/>
      <c r="R47" s="762"/>
      <c r="S47" s="762"/>
      <c r="T47" s="762"/>
      <c r="U47" s="762"/>
      <c r="V47" s="762"/>
      <c r="W47" s="762"/>
      <c r="X47" s="763"/>
    </row>
    <row r="48" spans="2:24" ht="23.1" customHeight="1">
      <c r="B48" s="28"/>
      <c r="C48" s="968"/>
      <c r="D48" s="630" t="s">
        <v>700</v>
      </c>
      <c r="E48" s="630"/>
      <c r="F48" s="969"/>
      <c r="G48" s="969"/>
      <c r="H48" s="969"/>
      <c r="I48" s="30"/>
      <c r="K48" s="761"/>
      <c r="L48" s="762"/>
      <c r="M48" s="762"/>
      <c r="N48" s="762"/>
      <c r="O48" s="762"/>
      <c r="P48" s="762"/>
      <c r="Q48" s="762"/>
      <c r="R48" s="762"/>
      <c r="S48" s="762"/>
      <c r="T48" s="762"/>
      <c r="U48" s="762"/>
      <c r="V48" s="762"/>
      <c r="W48" s="762"/>
      <c r="X48" s="763"/>
    </row>
    <row r="49" spans="2:24" ht="23.1" customHeight="1">
      <c r="B49" s="28"/>
      <c r="C49" s="968"/>
      <c r="D49" s="630" t="s">
        <v>701</v>
      </c>
      <c r="E49" s="630"/>
      <c r="F49" s="969"/>
      <c r="G49" s="969"/>
      <c r="H49" s="969"/>
      <c r="I49" s="30"/>
      <c r="K49" s="761"/>
      <c r="L49" s="762"/>
      <c r="M49" s="762"/>
      <c r="N49" s="762"/>
      <c r="O49" s="762"/>
      <c r="P49" s="762"/>
      <c r="Q49" s="762"/>
      <c r="R49" s="762"/>
      <c r="S49" s="762"/>
      <c r="T49" s="762"/>
      <c r="U49" s="762"/>
      <c r="V49" s="762"/>
      <c r="W49" s="762"/>
      <c r="X49" s="763"/>
    </row>
    <row r="50" spans="2:24" ht="23.1" customHeight="1">
      <c r="B50" s="28"/>
      <c r="C50" s="968"/>
      <c r="D50" s="630" t="s">
        <v>702</v>
      </c>
      <c r="E50" s="630"/>
      <c r="F50" s="969"/>
      <c r="G50" s="969"/>
      <c r="H50" s="969"/>
      <c r="I50" s="30"/>
      <c r="K50" s="761"/>
      <c r="L50" s="762"/>
      <c r="M50" s="762"/>
      <c r="N50" s="762"/>
      <c r="O50" s="762"/>
      <c r="P50" s="762"/>
      <c r="Q50" s="762"/>
      <c r="R50" s="762"/>
      <c r="S50" s="762"/>
      <c r="T50" s="762"/>
      <c r="U50" s="762"/>
      <c r="V50" s="762"/>
      <c r="W50" s="762"/>
      <c r="X50" s="763"/>
    </row>
    <row r="51" spans="2:24" ht="23.1" customHeight="1">
      <c r="B51" s="28"/>
      <c r="C51" s="968"/>
      <c r="D51" s="630" t="s">
        <v>703</v>
      </c>
      <c r="E51" s="630"/>
      <c r="F51" s="969"/>
      <c r="G51" s="969"/>
      <c r="H51" s="969"/>
      <c r="I51" s="30"/>
      <c r="K51" s="761"/>
      <c r="L51" s="762"/>
      <c r="M51" s="762"/>
      <c r="N51" s="762"/>
      <c r="O51" s="762"/>
      <c r="P51" s="762"/>
      <c r="Q51" s="762"/>
      <c r="R51" s="762"/>
      <c r="S51" s="762"/>
      <c r="T51" s="762"/>
      <c r="U51" s="762"/>
      <c r="V51" s="762"/>
      <c r="W51" s="762"/>
      <c r="X51" s="763"/>
    </row>
    <row r="52" spans="2:24" s="45" customFormat="1" ht="23.1" customHeight="1">
      <c r="B52" s="10"/>
      <c r="C52" s="968"/>
      <c r="D52" s="630" t="s">
        <v>704</v>
      </c>
      <c r="E52" s="630"/>
      <c r="F52" s="969"/>
      <c r="G52" s="969"/>
      <c r="H52" s="969"/>
      <c r="I52" s="37"/>
      <c r="K52" s="761"/>
      <c r="L52" s="762"/>
      <c r="M52" s="762"/>
      <c r="N52" s="762"/>
      <c r="O52" s="762"/>
      <c r="P52" s="762"/>
      <c r="Q52" s="762"/>
      <c r="R52" s="762"/>
      <c r="S52" s="762"/>
      <c r="T52" s="762"/>
      <c r="U52" s="762"/>
      <c r="V52" s="762"/>
      <c r="W52" s="762"/>
      <c r="X52" s="763"/>
    </row>
    <row r="53" spans="2:24" ht="23.1" customHeight="1">
      <c r="B53" s="28"/>
      <c r="C53" s="968"/>
      <c r="D53" s="630" t="s">
        <v>705</v>
      </c>
      <c r="E53" s="630"/>
      <c r="F53" s="969"/>
      <c r="G53" s="969"/>
      <c r="H53" s="969"/>
      <c r="I53" s="30"/>
      <c r="K53" s="761"/>
      <c r="L53" s="762"/>
      <c r="M53" s="762"/>
      <c r="N53" s="762"/>
      <c r="O53" s="762"/>
      <c r="P53" s="762"/>
      <c r="Q53" s="762"/>
      <c r="R53" s="762"/>
      <c r="S53" s="762"/>
      <c r="T53" s="762"/>
      <c r="U53" s="762"/>
      <c r="V53" s="762"/>
      <c r="W53" s="762"/>
      <c r="X53" s="763"/>
    </row>
    <row r="54" spans="2:24" ht="23.1" customHeight="1">
      <c r="B54" s="28"/>
      <c r="C54" s="243" t="s">
        <v>706</v>
      </c>
      <c r="D54" s="43"/>
      <c r="E54" s="42"/>
      <c r="F54" s="249">
        <f>SUM(F55:F62)</f>
        <v>0</v>
      </c>
      <c r="G54" s="249">
        <f>SUM(G55:G62)</f>
        <v>0</v>
      </c>
      <c r="H54" s="249">
        <f>SUM(H55:H62)</f>
        <v>0</v>
      </c>
      <c r="I54" s="30"/>
      <c r="K54" s="761"/>
      <c r="L54" s="762"/>
      <c r="M54" s="762"/>
      <c r="N54" s="762"/>
      <c r="O54" s="762"/>
      <c r="P54" s="762"/>
      <c r="Q54" s="762"/>
      <c r="R54" s="762"/>
      <c r="S54" s="762"/>
      <c r="T54" s="762"/>
      <c r="U54" s="762"/>
      <c r="V54" s="762"/>
      <c r="W54" s="762"/>
      <c r="X54" s="763"/>
    </row>
    <row r="55" spans="2:24" ht="23.1" customHeight="1">
      <c r="B55" s="28"/>
      <c r="C55" s="968"/>
      <c r="D55" s="630" t="s">
        <v>698</v>
      </c>
      <c r="E55" s="630"/>
      <c r="F55" s="969"/>
      <c r="G55" s="969"/>
      <c r="H55" s="969"/>
      <c r="I55" s="30"/>
      <c r="K55" s="761"/>
      <c r="L55" s="762"/>
      <c r="M55" s="762"/>
      <c r="N55" s="762"/>
      <c r="O55" s="762"/>
      <c r="P55" s="762"/>
      <c r="Q55" s="762"/>
      <c r="R55" s="762"/>
      <c r="S55" s="762"/>
      <c r="T55" s="762"/>
      <c r="U55" s="762"/>
      <c r="V55" s="762"/>
      <c r="W55" s="762"/>
      <c r="X55" s="763"/>
    </row>
    <row r="56" spans="2:24" ht="23.1" customHeight="1">
      <c r="B56" s="28"/>
      <c r="C56" s="968"/>
      <c r="D56" s="630" t="s">
        <v>699</v>
      </c>
      <c r="E56" s="630"/>
      <c r="F56" s="969"/>
      <c r="G56" s="969"/>
      <c r="H56" s="969"/>
      <c r="I56" s="30"/>
      <c r="K56" s="761"/>
      <c r="L56" s="762"/>
      <c r="M56" s="762"/>
      <c r="N56" s="762"/>
      <c r="O56" s="762"/>
      <c r="P56" s="762"/>
      <c r="Q56" s="762"/>
      <c r="R56" s="762"/>
      <c r="S56" s="762"/>
      <c r="T56" s="762"/>
      <c r="U56" s="762"/>
      <c r="V56" s="762"/>
      <c r="W56" s="762"/>
      <c r="X56" s="763"/>
    </row>
    <row r="57" spans="2:24" ht="23.1" customHeight="1">
      <c r="B57" s="28"/>
      <c r="C57" s="968"/>
      <c r="D57" s="630" t="s">
        <v>700</v>
      </c>
      <c r="E57" s="630"/>
      <c r="F57" s="969"/>
      <c r="G57" s="969"/>
      <c r="H57" s="969"/>
      <c r="I57" s="30"/>
      <c r="K57" s="761"/>
      <c r="L57" s="762"/>
      <c r="M57" s="762"/>
      <c r="N57" s="762"/>
      <c r="O57" s="762"/>
      <c r="P57" s="762"/>
      <c r="Q57" s="762"/>
      <c r="R57" s="762"/>
      <c r="S57" s="762"/>
      <c r="T57" s="762"/>
      <c r="U57" s="762"/>
      <c r="V57" s="762"/>
      <c r="W57" s="762"/>
      <c r="X57" s="763"/>
    </row>
    <row r="58" spans="2:24" ht="23.1" customHeight="1">
      <c r="B58" s="28"/>
      <c r="C58" s="968"/>
      <c r="D58" s="630" t="s">
        <v>701</v>
      </c>
      <c r="E58" s="630"/>
      <c r="F58" s="969"/>
      <c r="G58" s="969"/>
      <c r="H58" s="969"/>
      <c r="I58" s="30"/>
      <c r="K58" s="761"/>
      <c r="L58" s="762"/>
      <c r="M58" s="762"/>
      <c r="N58" s="762"/>
      <c r="O58" s="762"/>
      <c r="P58" s="762"/>
      <c r="Q58" s="762"/>
      <c r="R58" s="762"/>
      <c r="S58" s="762"/>
      <c r="T58" s="762"/>
      <c r="U58" s="762"/>
      <c r="V58" s="762"/>
      <c r="W58" s="762"/>
      <c r="X58" s="763"/>
    </row>
    <row r="59" spans="2:24" ht="23.1" customHeight="1">
      <c r="B59" s="28"/>
      <c r="C59" s="968"/>
      <c r="D59" s="630" t="s">
        <v>702</v>
      </c>
      <c r="E59" s="630"/>
      <c r="F59" s="969"/>
      <c r="G59" s="969"/>
      <c r="H59" s="969"/>
      <c r="I59" s="30"/>
      <c r="K59" s="761"/>
      <c r="L59" s="762"/>
      <c r="M59" s="762"/>
      <c r="N59" s="762"/>
      <c r="O59" s="762"/>
      <c r="P59" s="762"/>
      <c r="Q59" s="762"/>
      <c r="R59" s="762"/>
      <c r="S59" s="762"/>
      <c r="T59" s="762"/>
      <c r="U59" s="762"/>
      <c r="V59" s="762"/>
      <c r="W59" s="762"/>
      <c r="X59" s="763"/>
    </row>
    <row r="60" spans="2:24" ht="23.1" customHeight="1">
      <c r="B60" s="28"/>
      <c r="C60" s="968"/>
      <c r="D60" s="630" t="s">
        <v>703</v>
      </c>
      <c r="E60" s="630"/>
      <c r="F60" s="969"/>
      <c r="G60" s="969"/>
      <c r="H60" s="969"/>
      <c r="I60" s="30"/>
      <c r="K60" s="761"/>
      <c r="L60" s="762"/>
      <c r="M60" s="762"/>
      <c r="N60" s="762"/>
      <c r="O60" s="762"/>
      <c r="P60" s="762"/>
      <c r="Q60" s="762"/>
      <c r="R60" s="762"/>
      <c r="S60" s="762"/>
      <c r="T60" s="762"/>
      <c r="U60" s="762"/>
      <c r="V60" s="762"/>
      <c r="W60" s="762"/>
      <c r="X60" s="763"/>
    </row>
    <row r="61" spans="2:24" ht="23.1" customHeight="1">
      <c r="B61" s="28"/>
      <c r="C61" s="968"/>
      <c r="D61" s="630" t="s">
        <v>704</v>
      </c>
      <c r="E61" s="630"/>
      <c r="F61" s="969"/>
      <c r="G61" s="969"/>
      <c r="H61" s="969"/>
      <c r="I61" s="30"/>
      <c r="K61" s="761"/>
      <c r="L61" s="762"/>
      <c r="M61" s="762"/>
      <c r="N61" s="762"/>
      <c r="O61" s="762"/>
      <c r="P61" s="762"/>
      <c r="Q61" s="762"/>
      <c r="R61" s="762"/>
      <c r="S61" s="762"/>
      <c r="T61" s="762"/>
      <c r="U61" s="762"/>
      <c r="V61" s="762"/>
      <c r="W61" s="762"/>
      <c r="X61" s="763"/>
    </row>
    <row r="62" spans="2:24" ht="23.1" customHeight="1">
      <c r="B62" s="28"/>
      <c r="C62" s="968"/>
      <c r="D62" s="630" t="s">
        <v>705</v>
      </c>
      <c r="E62" s="630"/>
      <c r="F62" s="969"/>
      <c r="G62" s="969"/>
      <c r="H62" s="969"/>
      <c r="I62" s="30"/>
      <c r="K62" s="761"/>
      <c r="L62" s="762"/>
      <c r="M62" s="762"/>
      <c r="N62" s="762"/>
      <c r="O62" s="762"/>
      <c r="P62" s="762"/>
      <c r="Q62" s="762"/>
      <c r="R62" s="762"/>
      <c r="S62" s="762"/>
      <c r="T62" s="762"/>
      <c r="U62" s="762"/>
      <c r="V62" s="762"/>
      <c r="W62" s="762"/>
      <c r="X62" s="763"/>
    </row>
    <row r="63" spans="2:24" ht="23.1" customHeight="1" thickBot="1">
      <c r="B63" s="28"/>
      <c r="C63" s="244" t="s">
        <v>707</v>
      </c>
      <c r="D63" s="52"/>
      <c r="E63" s="52"/>
      <c r="F63" s="250">
        <f>F45+F54</f>
        <v>0</v>
      </c>
      <c r="G63" s="250">
        <f>G45+G54</f>
        <v>0</v>
      </c>
      <c r="H63" s="250">
        <f>H45+H54</f>
        <v>0</v>
      </c>
      <c r="I63" s="30"/>
      <c r="K63" s="761"/>
      <c r="L63" s="762"/>
      <c r="M63" s="762"/>
      <c r="N63" s="762"/>
      <c r="O63" s="762"/>
      <c r="P63" s="762"/>
      <c r="Q63" s="762"/>
      <c r="R63" s="762"/>
      <c r="S63" s="762"/>
      <c r="T63" s="762"/>
      <c r="U63" s="762"/>
      <c r="V63" s="762"/>
      <c r="W63" s="762"/>
      <c r="X63" s="763"/>
    </row>
    <row r="64" spans="2:24" ht="23.1" customHeight="1">
      <c r="B64" s="28"/>
      <c r="C64" s="968"/>
      <c r="D64" s="412"/>
      <c r="E64" s="412"/>
      <c r="F64" s="248"/>
      <c r="G64" s="248"/>
      <c r="H64" s="248"/>
      <c r="I64" s="30"/>
      <c r="K64" s="761"/>
      <c r="L64" s="762"/>
      <c r="M64" s="762"/>
      <c r="N64" s="762"/>
      <c r="O64" s="762"/>
      <c r="P64" s="762"/>
      <c r="Q64" s="762"/>
      <c r="R64" s="762"/>
      <c r="S64" s="762"/>
      <c r="T64" s="762"/>
      <c r="U64" s="762"/>
      <c r="V64" s="762"/>
      <c r="W64" s="762"/>
      <c r="X64" s="763"/>
    </row>
    <row r="65" spans="2:24" ht="23.1" customHeight="1">
      <c r="B65" s="28"/>
      <c r="C65" s="242" t="s">
        <v>708</v>
      </c>
      <c r="D65" s="55"/>
      <c r="E65" s="54"/>
      <c r="F65" s="248"/>
      <c r="G65" s="248"/>
      <c r="H65" s="248"/>
      <c r="I65" s="30"/>
      <c r="K65" s="761"/>
      <c r="L65" s="762"/>
      <c r="M65" s="762"/>
      <c r="N65" s="762"/>
      <c r="O65" s="762"/>
      <c r="P65" s="762"/>
      <c r="Q65" s="762"/>
      <c r="R65" s="762"/>
      <c r="S65" s="762"/>
      <c r="T65" s="762"/>
      <c r="U65" s="762"/>
      <c r="V65" s="762"/>
      <c r="W65" s="762"/>
      <c r="X65" s="763"/>
    </row>
    <row r="66" spans="2:24" ht="23.1" customHeight="1">
      <c r="B66" s="28"/>
      <c r="C66" s="243" t="s">
        <v>709</v>
      </c>
      <c r="D66" s="43"/>
      <c r="E66" s="42"/>
      <c r="F66" s="249">
        <f>SUM(F67:F72)</f>
        <v>0</v>
      </c>
      <c r="G66" s="249">
        <f>SUM(G67:G72)</f>
        <v>0</v>
      </c>
      <c r="H66" s="249">
        <f>SUM(H67:H72)</f>
        <v>0</v>
      </c>
      <c r="I66" s="30"/>
      <c r="K66" s="761"/>
      <c r="L66" s="762"/>
      <c r="M66" s="762"/>
      <c r="N66" s="762"/>
      <c r="O66" s="762"/>
      <c r="P66" s="762"/>
      <c r="Q66" s="762"/>
      <c r="R66" s="762"/>
      <c r="S66" s="762"/>
      <c r="T66" s="762"/>
      <c r="U66" s="762"/>
      <c r="V66" s="762"/>
      <c r="W66" s="762"/>
      <c r="X66" s="763"/>
    </row>
    <row r="67" spans="2:24" ht="23.1" customHeight="1">
      <c r="B67" s="28"/>
      <c r="C67" s="968"/>
      <c r="D67" s="630" t="s">
        <v>710</v>
      </c>
      <c r="E67" s="630"/>
      <c r="F67" s="969"/>
      <c r="G67" s="969"/>
      <c r="H67" s="969"/>
      <c r="I67" s="30"/>
      <c r="K67" s="761" t="s">
        <v>711</v>
      </c>
      <c r="L67" s="762"/>
      <c r="M67" s="762"/>
      <c r="N67" s="762"/>
      <c r="O67" s="762"/>
      <c r="P67" s="762"/>
      <c r="Q67" s="762"/>
      <c r="R67" s="762"/>
      <c r="S67" s="762"/>
      <c r="T67" s="762"/>
      <c r="U67" s="762"/>
      <c r="V67" s="762"/>
      <c r="W67" s="762"/>
      <c r="X67" s="763"/>
    </row>
    <row r="68" spans="2:24" ht="23.1" customHeight="1">
      <c r="B68" s="28"/>
      <c r="C68" s="968"/>
      <c r="D68" s="630" t="s">
        <v>712</v>
      </c>
      <c r="E68" s="630"/>
      <c r="F68" s="969"/>
      <c r="G68" s="969"/>
      <c r="H68" s="969"/>
      <c r="I68" s="30"/>
      <c r="K68" s="761"/>
      <c r="L68" s="762"/>
      <c r="M68" s="762"/>
      <c r="N68" s="762"/>
      <c r="O68" s="762"/>
      <c r="P68" s="762"/>
      <c r="Q68" s="762"/>
      <c r="R68" s="762"/>
      <c r="S68" s="762"/>
      <c r="T68" s="762"/>
      <c r="U68" s="762"/>
      <c r="V68" s="762"/>
      <c r="W68" s="762"/>
      <c r="X68" s="763"/>
    </row>
    <row r="69" spans="2:24" ht="23.1" customHeight="1">
      <c r="B69" s="28"/>
      <c r="C69" s="968"/>
      <c r="D69" s="630" t="s">
        <v>713</v>
      </c>
      <c r="E69" s="630"/>
      <c r="F69" s="969"/>
      <c r="G69" s="969"/>
      <c r="H69" s="969"/>
      <c r="I69" s="30"/>
      <c r="K69" s="761"/>
      <c r="L69" s="762"/>
      <c r="M69" s="762"/>
      <c r="N69" s="762"/>
      <c r="O69" s="762"/>
      <c r="P69" s="762"/>
      <c r="Q69" s="762"/>
      <c r="R69" s="762"/>
      <c r="S69" s="762"/>
      <c r="T69" s="762"/>
      <c r="U69" s="762"/>
      <c r="V69" s="762"/>
      <c r="W69" s="762"/>
      <c r="X69" s="763"/>
    </row>
    <row r="70" spans="2:24" ht="23.1" customHeight="1">
      <c r="B70" s="28"/>
      <c r="C70" s="968"/>
      <c r="D70" s="630" t="s">
        <v>714</v>
      </c>
      <c r="E70" s="630"/>
      <c r="F70" s="969"/>
      <c r="G70" s="969"/>
      <c r="H70" s="969"/>
      <c r="I70" s="30"/>
      <c r="K70" s="761"/>
      <c r="L70" s="762"/>
      <c r="M70" s="762"/>
      <c r="N70" s="762"/>
      <c r="O70" s="762"/>
      <c r="P70" s="762"/>
      <c r="Q70" s="762"/>
      <c r="R70" s="762"/>
      <c r="S70" s="762"/>
      <c r="T70" s="762"/>
      <c r="U70" s="762"/>
      <c r="V70" s="762"/>
      <c r="W70" s="762"/>
      <c r="X70" s="763"/>
    </row>
    <row r="71" spans="2:24" ht="23.1" customHeight="1">
      <c r="B71" s="28"/>
      <c r="C71" s="968"/>
      <c r="D71" s="630" t="s">
        <v>715</v>
      </c>
      <c r="E71" s="630"/>
      <c r="F71" s="969"/>
      <c r="G71" s="969"/>
      <c r="H71" s="969"/>
      <c r="I71" s="30"/>
      <c r="K71" s="761"/>
      <c r="L71" s="762"/>
      <c r="M71" s="762"/>
      <c r="N71" s="762"/>
      <c r="O71" s="762"/>
      <c r="P71" s="762"/>
      <c r="Q71" s="762"/>
      <c r="R71" s="762"/>
      <c r="S71" s="762"/>
      <c r="T71" s="762"/>
      <c r="U71" s="762"/>
      <c r="V71" s="762"/>
      <c r="W71" s="762"/>
      <c r="X71" s="763"/>
    </row>
    <row r="72" spans="2:24" ht="23.1" customHeight="1">
      <c r="B72" s="28"/>
      <c r="C72" s="968"/>
      <c r="D72" s="630" t="s">
        <v>716</v>
      </c>
      <c r="E72" s="630"/>
      <c r="F72" s="969"/>
      <c r="G72" s="969"/>
      <c r="H72" s="969"/>
      <c r="I72" s="30"/>
      <c r="K72" s="761"/>
      <c r="L72" s="762"/>
      <c r="M72" s="762"/>
      <c r="N72" s="762"/>
      <c r="O72" s="762"/>
      <c r="P72" s="762"/>
      <c r="Q72" s="762"/>
      <c r="R72" s="762"/>
      <c r="S72" s="762"/>
      <c r="T72" s="762"/>
      <c r="U72" s="762"/>
      <c r="V72" s="762"/>
      <c r="W72" s="762"/>
      <c r="X72" s="763"/>
    </row>
    <row r="73" spans="2:24" ht="23.1" customHeight="1">
      <c r="B73" s="28"/>
      <c r="C73" s="243" t="s">
        <v>717</v>
      </c>
      <c r="D73" s="43"/>
      <c r="E73" s="42"/>
      <c r="F73" s="249">
        <f>+F74+F80</f>
        <v>0</v>
      </c>
      <c r="G73" s="249">
        <f>+G74+G80</f>
        <v>0</v>
      </c>
      <c r="H73" s="249">
        <f>+H74+H80</f>
        <v>0</v>
      </c>
      <c r="I73" s="30"/>
      <c r="K73" s="761"/>
      <c r="L73" s="762"/>
      <c r="M73" s="762"/>
      <c r="N73" s="762"/>
      <c r="O73" s="762"/>
      <c r="P73" s="762"/>
      <c r="Q73" s="762"/>
      <c r="R73" s="762"/>
      <c r="S73" s="762"/>
      <c r="T73" s="762"/>
      <c r="U73" s="762"/>
      <c r="V73" s="762"/>
      <c r="W73" s="762"/>
      <c r="X73" s="763"/>
    </row>
    <row r="74" spans="2:24" ht="23.1" customHeight="1">
      <c r="B74" s="28"/>
      <c r="C74" s="968"/>
      <c r="D74" s="630" t="s">
        <v>718</v>
      </c>
      <c r="E74" s="630"/>
      <c r="F74" s="970">
        <f>SUM(F75:F79)</f>
        <v>0</v>
      </c>
      <c r="G74" s="970">
        <f>SUM(G75:G79)</f>
        <v>0</v>
      </c>
      <c r="H74" s="970">
        <f>SUM(H75:H79)</f>
        <v>0</v>
      </c>
      <c r="I74" s="30"/>
      <c r="K74" s="761"/>
      <c r="L74" s="762"/>
      <c r="M74" s="762"/>
      <c r="N74" s="762"/>
      <c r="O74" s="762"/>
      <c r="P74" s="762"/>
      <c r="Q74" s="762"/>
      <c r="R74" s="762"/>
      <c r="S74" s="762"/>
      <c r="T74" s="762"/>
      <c r="U74" s="762"/>
      <c r="V74" s="762"/>
      <c r="W74" s="762"/>
      <c r="X74" s="763"/>
    </row>
    <row r="75" spans="2:24" ht="23.1" customHeight="1">
      <c r="B75" s="28"/>
      <c r="C75" s="245"/>
      <c r="D75" s="56"/>
      <c r="E75" s="56" t="s">
        <v>719</v>
      </c>
      <c r="F75" s="279"/>
      <c r="G75" s="279"/>
      <c r="H75" s="279"/>
      <c r="I75" s="30"/>
      <c r="K75" s="761"/>
      <c r="L75" s="762"/>
      <c r="M75" s="762"/>
      <c r="N75" s="762"/>
      <c r="O75" s="762"/>
      <c r="P75" s="762"/>
      <c r="Q75" s="762"/>
      <c r="R75" s="762"/>
      <c r="S75" s="762"/>
      <c r="T75" s="762"/>
      <c r="U75" s="762"/>
      <c r="V75" s="762"/>
      <c r="W75" s="762"/>
      <c r="X75" s="763"/>
    </row>
    <row r="76" spans="2:24" ht="23.1" customHeight="1">
      <c r="B76" s="28"/>
      <c r="C76" s="245"/>
      <c r="D76" s="56"/>
      <c r="E76" s="56" t="s">
        <v>720</v>
      </c>
      <c r="F76" s="279"/>
      <c r="G76" s="279"/>
      <c r="H76" s="279"/>
      <c r="I76" s="30"/>
      <c r="K76" s="761"/>
      <c r="L76" s="762"/>
      <c r="M76" s="762"/>
      <c r="N76" s="762"/>
      <c r="O76" s="762"/>
      <c r="P76" s="762"/>
      <c r="Q76" s="762"/>
      <c r="R76" s="762"/>
      <c r="S76" s="762"/>
      <c r="T76" s="762"/>
      <c r="U76" s="762"/>
      <c r="V76" s="762"/>
      <c r="W76" s="762"/>
      <c r="X76" s="763"/>
    </row>
    <row r="77" spans="2:24" ht="23.1" customHeight="1">
      <c r="B77" s="28"/>
      <c r="C77" s="245"/>
      <c r="D77" s="56"/>
      <c r="E77" s="56" t="s">
        <v>721</v>
      </c>
      <c r="F77" s="279"/>
      <c r="G77" s="279"/>
      <c r="H77" s="279"/>
      <c r="I77" s="30"/>
      <c r="K77" s="761"/>
      <c r="L77" s="762"/>
      <c r="M77" s="762"/>
      <c r="N77" s="762"/>
      <c r="O77" s="762"/>
      <c r="P77" s="762"/>
      <c r="Q77" s="762"/>
      <c r="R77" s="762"/>
      <c r="S77" s="762"/>
      <c r="T77" s="762"/>
      <c r="U77" s="762"/>
      <c r="V77" s="762"/>
      <c r="W77" s="762"/>
      <c r="X77" s="763"/>
    </row>
    <row r="78" spans="2:24" ht="23.1" customHeight="1">
      <c r="B78" s="28"/>
      <c r="C78" s="245"/>
      <c r="D78" s="56"/>
      <c r="E78" s="56" t="s">
        <v>722</v>
      </c>
      <c r="F78" s="279"/>
      <c r="G78" s="279"/>
      <c r="H78" s="279"/>
      <c r="I78" s="30"/>
      <c r="K78" s="761"/>
      <c r="L78" s="762"/>
      <c r="M78" s="762"/>
      <c r="N78" s="762"/>
      <c r="O78" s="762"/>
      <c r="P78" s="762"/>
      <c r="Q78" s="762"/>
      <c r="R78" s="762"/>
      <c r="S78" s="762"/>
      <c r="T78" s="762"/>
      <c r="U78" s="762"/>
      <c r="V78" s="762"/>
      <c r="W78" s="762"/>
      <c r="X78" s="763"/>
    </row>
    <row r="79" spans="2:24" ht="23.1" customHeight="1">
      <c r="B79" s="28"/>
      <c r="C79" s="245"/>
      <c r="D79" s="56"/>
      <c r="E79" s="56" t="s">
        <v>723</v>
      </c>
      <c r="F79" s="279"/>
      <c r="G79" s="279"/>
      <c r="H79" s="279"/>
      <c r="I79" s="30"/>
      <c r="K79" s="761"/>
      <c r="L79" s="762"/>
      <c r="M79" s="762"/>
      <c r="N79" s="762"/>
      <c r="O79" s="762"/>
      <c r="P79" s="762"/>
      <c r="Q79" s="762"/>
      <c r="R79" s="762"/>
      <c r="S79" s="762"/>
      <c r="T79" s="762"/>
      <c r="U79" s="762"/>
      <c r="V79" s="762"/>
      <c r="W79" s="762"/>
      <c r="X79" s="763"/>
    </row>
    <row r="80" spans="2:24" ht="23.1" customHeight="1">
      <c r="B80" s="28"/>
      <c r="C80" s="968"/>
      <c r="D80" s="898" t="s">
        <v>724</v>
      </c>
      <c r="E80" s="898"/>
      <c r="F80" s="971">
        <f>SUM(F81:F85)</f>
        <v>0</v>
      </c>
      <c r="G80" s="971">
        <f>SUM(G81:G85)</f>
        <v>0</v>
      </c>
      <c r="H80" s="971">
        <f>SUM(H81:H85)</f>
        <v>0</v>
      </c>
      <c r="I80" s="30"/>
      <c r="K80" s="761"/>
      <c r="L80" s="762"/>
      <c r="M80" s="762"/>
      <c r="N80" s="762"/>
      <c r="O80" s="762"/>
      <c r="P80" s="762"/>
      <c r="Q80" s="762"/>
      <c r="R80" s="762"/>
      <c r="S80" s="762"/>
      <c r="T80" s="762"/>
      <c r="U80" s="762"/>
      <c r="V80" s="762"/>
      <c r="W80" s="762"/>
      <c r="X80" s="763"/>
    </row>
    <row r="81" spans="2:24" ht="23.1" customHeight="1">
      <c r="B81" s="28"/>
      <c r="C81" s="245"/>
      <c r="D81" s="56"/>
      <c r="E81" s="56" t="s">
        <v>725</v>
      </c>
      <c r="F81" s="279"/>
      <c r="G81" s="279"/>
      <c r="H81" s="279"/>
      <c r="I81" s="30"/>
      <c r="K81" s="761"/>
      <c r="L81" s="762"/>
      <c r="M81" s="762"/>
      <c r="N81" s="762"/>
      <c r="O81" s="762"/>
      <c r="P81" s="762"/>
      <c r="Q81" s="762"/>
      <c r="R81" s="762"/>
      <c r="S81" s="762"/>
      <c r="T81" s="762"/>
      <c r="U81" s="762"/>
      <c r="V81" s="762"/>
      <c r="W81" s="762"/>
      <c r="X81" s="763"/>
    </row>
    <row r="82" spans="2:24" ht="23.1" customHeight="1">
      <c r="B82" s="28"/>
      <c r="C82" s="245"/>
      <c r="D82" s="56"/>
      <c r="E82" s="56" t="s">
        <v>726</v>
      </c>
      <c r="F82" s="279"/>
      <c r="G82" s="279"/>
      <c r="H82" s="279"/>
      <c r="I82" s="30"/>
      <c r="K82" s="761"/>
      <c r="L82" s="762"/>
      <c r="M82" s="762"/>
      <c r="N82" s="762"/>
      <c r="O82" s="762"/>
      <c r="P82" s="762"/>
      <c r="Q82" s="762"/>
      <c r="R82" s="762"/>
      <c r="S82" s="762"/>
      <c r="T82" s="762"/>
      <c r="U82" s="762"/>
      <c r="V82" s="762"/>
      <c r="W82" s="762"/>
      <c r="X82" s="763"/>
    </row>
    <row r="83" spans="2:24" ht="23.1" customHeight="1">
      <c r="B83" s="28"/>
      <c r="C83" s="245"/>
      <c r="D83" s="56"/>
      <c r="E83" s="56" t="s">
        <v>727</v>
      </c>
      <c r="F83" s="279"/>
      <c r="G83" s="279"/>
      <c r="H83" s="279"/>
      <c r="I83" s="30"/>
      <c r="K83" s="761"/>
      <c r="L83" s="762"/>
      <c r="M83" s="762"/>
      <c r="N83" s="762"/>
      <c r="O83" s="762"/>
      <c r="P83" s="762"/>
      <c r="Q83" s="762"/>
      <c r="R83" s="762"/>
      <c r="S83" s="762"/>
      <c r="T83" s="762"/>
      <c r="U83" s="762"/>
      <c r="V83" s="762"/>
      <c r="W83" s="762"/>
      <c r="X83" s="763"/>
    </row>
    <row r="84" spans="2:24" ht="23.1" customHeight="1">
      <c r="B84" s="28"/>
      <c r="C84" s="245"/>
      <c r="D84" s="56"/>
      <c r="E84" s="56" t="s">
        <v>728</v>
      </c>
      <c r="F84" s="279"/>
      <c r="G84" s="279"/>
      <c r="H84" s="279"/>
      <c r="I84" s="30"/>
      <c r="K84" s="761"/>
      <c r="L84" s="762"/>
      <c r="M84" s="762"/>
      <c r="N84" s="762"/>
      <c r="O84" s="762"/>
      <c r="P84" s="762"/>
      <c r="Q84" s="762"/>
      <c r="R84" s="762"/>
      <c r="S84" s="762"/>
      <c r="T84" s="762"/>
      <c r="U84" s="762"/>
      <c r="V84" s="762"/>
      <c r="W84" s="762"/>
      <c r="X84" s="763"/>
    </row>
    <row r="85" spans="2:24" ht="23.1" customHeight="1">
      <c r="B85" s="28"/>
      <c r="C85" s="245"/>
      <c r="D85" s="56"/>
      <c r="E85" s="56" t="s">
        <v>729</v>
      </c>
      <c r="F85" s="279"/>
      <c r="G85" s="279"/>
      <c r="H85" s="279"/>
      <c r="I85" s="30"/>
      <c r="K85" s="761"/>
      <c r="L85" s="762"/>
      <c r="M85" s="762"/>
      <c r="N85" s="762"/>
      <c r="O85" s="762"/>
      <c r="P85" s="762"/>
      <c r="Q85" s="762"/>
      <c r="R85" s="762"/>
      <c r="S85" s="762"/>
      <c r="T85" s="762"/>
      <c r="U85" s="762"/>
      <c r="V85" s="762"/>
      <c r="W85" s="762"/>
      <c r="X85" s="763"/>
    </row>
    <row r="86" spans="2:24" ht="23.1" customHeight="1">
      <c r="B86" s="28"/>
      <c r="C86" s="243" t="s">
        <v>730</v>
      </c>
      <c r="D86" s="43"/>
      <c r="E86" s="42"/>
      <c r="F86" s="249">
        <f>+SUM(F87:F88)</f>
        <v>0</v>
      </c>
      <c r="G86" s="249">
        <f>+SUM(G87:G88)</f>
        <v>0</v>
      </c>
      <c r="H86" s="249">
        <f>+SUM(H87:H88)</f>
        <v>0</v>
      </c>
      <c r="I86" s="30"/>
      <c r="K86" s="761"/>
      <c r="L86" s="762"/>
      <c r="M86" s="762"/>
      <c r="N86" s="762"/>
      <c r="O86" s="762"/>
      <c r="P86" s="762"/>
      <c r="Q86" s="762"/>
      <c r="R86" s="762"/>
      <c r="S86" s="762"/>
      <c r="T86" s="762"/>
      <c r="U86" s="762"/>
      <c r="V86" s="762"/>
      <c r="W86" s="762"/>
      <c r="X86" s="763"/>
    </row>
    <row r="87" spans="2:24" ht="23.1" customHeight="1">
      <c r="B87" s="28"/>
      <c r="C87" s="968"/>
      <c r="D87" s="630" t="s">
        <v>731</v>
      </c>
      <c r="E87" s="630"/>
      <c r="F87" s="969"/>
      <c r="G87" s="969"/>
      <c r="H87" s="969"/>
      <c r="I87" s="30"/>
      <c r="K87" s="761"/>
      <c r="L87" s="762"/>
      <c r="M87" s="762"/>
      <c r="N87" s="762"/>
      <c r="O87" s="762"/>
      <c r="P87" s="762"/>
      <c r="Q87" s="762"/>
      <c r="R87" s="762"/>
      <c r="S87" s="762"/>
      <c r="T87" s="762"/>
      <c r="U87" s="762"/>
      <c r="V87" s="762"/>
      <c r="W87" s="762"/>
      <c r="X87" s="763"/>
    </row>
    <row r="88" spans="2:24" ht="23.1" customHeight="1">
      <c r="B88" s="28"/>
      <c r="C88" s="968"/>
      <c r="D88" s="630" t="s">
        <v>732</v>
      </c>
      <c r="E88" s="630"/>
      <c r="F88" s="969"/>
      <c r="G88" s="969"/>
      <c r="H88" s="969"/>
      <c r="I88" s="30"/>
      <c r="K88" s="761"/>
      <c r="L88" s="762"/>
      <c r="M88" s="762"/>
      <c r="N88" s="762"/>
      <c r="O88" s="762"/>
      <c r="P88" s="762"/>
      <c r="Q88" s="762"/>
      <c r="R88" s="762"/>
      <c r="S88" s="762"/>
      <c r="T88" s="762"/>
      <c r="U88" s="762"/>
      <c r="V88" s="762"/>
      <c r="W88" s="762"/>
      <c r="X88" s="763"/>
    </row>
    <row r="89" spans="2:24" ht="23.1" customHeight="1" thickBot="1">
      <c r="B89" s="28"/>
      <c r="C89" s="244" t="s">
        <v>733</v>
      </c>
      <c r="D89" s="52"/>
      <c r="E89" s="52"/>
      <c r="F89" s="250">
        <f>+F66+F73+F86</f>
        <v>0</v>
      </c>
      <c r="G89" s="250">
        <f>+G66+G73+G86</f>
        <v>0</v>
      </c>
      <c r="H89" s="250">
        <f>+H66+H73+H86</f>
        <v>0</v>
      </c>
      <c r="I89" s="30"/>
      <c r="K89" s="761"/>
      <c r="L89" s="762"/>
      <c r="M89" s="762"/>
      <c r="N89" s="762"/>
      <c r="O89" s="762"/>
      <c r="P89" s="762"/>
      <c r="Q89" s="762"/>
      <c r="R89" s="762"/>
      <c r="S89" s="762"/>
      <c r="T89" s="762"/>
      <c r="U89" s="762"/>
      <c r="V89" s="762"/>
      <c r="W89" s="762"/>
      <c r="X89" s="763"/>
    </row>
    <row r="90" spans="2:24" ht="23.1" customHeight="1">
      <c r="B90" s="28"/>
      <c r="C90" s="968"/>
      <c r="D90" s="412"/>
      <c r="E90" s="412"/>
      <c r="F90" s="248"/>
      <c r="G90" s="248"/>
      <c r="H90" s="248"/>
      <c r="I90" s="30"/>
      <c r="K90" s="761"/>
      <c r="L90" s="762"/>
      <c r="M90" s="762"/>
      <c r="N90" s="762"/>
      <c r="O90" s="762"/>
      <c r="P90" s="762"/>
      <c r="Q90" s="762"/>
      <c r="R90" s="762"/>
      <c r="S90" s="762"/>
      <c r="T90" s="762"/>
      <c r="U90" s="762"/>
      <c r="V90" s="762"/>
      <c r="W90" s="762"/>
      <c r="X90" s="763"/>
    </row>
    <row r="91" spans="2:24" ht="23.1" customHeight="1" thickBot="1">
      <c r="B91" s="28"/>
      <c r="C91" s="244" t="s">
        <v>734</v>
      </c>
      <c r="D91" s="52"/>
      <c r="E91" s="52"/>
      <c r="F91" s="826">
        <v>0</v>
      </c>
      <c r="G91" s="826">
        <v>0</v>
      </c>
      <c r="H91" s="826">
        <v>0</v>
      </c>
      <c r="I91" s="30"/>
      <c r="K91" s="800"/>
      <c r="L91" s="801"/>
      <c r="M91" s="762"/>
      <c r="N91" s="762"/>
      <c r="O91" s="762"/>
      <c r="P91" s="762"/>
      <c r="Q91" s="762"/>
      <c r="R91" s="762"/>
      <c r="S91" s="762"/>
      <c r="T91" s="762"/>
      <c r="U91" s="762"/>
      <c r="V91" s="762"/>
      <c r="W91" s="762"/>
      <c r="X91" s="763"/>
    </row>
    <row r="92" spans="2:24" ht="23.1" customHeight="1">
      <c r="B92" s="28"/>
      <c r="C92" s="968"/>
      <c r="D92" s="412"/>
      <c r="E92" s="412"/>
      <c r="F92" s="248"/>
      <c r="G92" s="248"/>
      <c r="H92" s="248"/>
      <c r="I92" s="30"/>
      <c r="K92" s="800"/>
      <c r="L92" s="762"/>
      <c r="M92" s="762"/>
      <c r="N92" s="762"/>
      <c r="O92" s="762"/>
      <c r="P92" s="762"/>
      <c r="Q92" s="762"/>
      <c r="R92" s="762"/>
      <c r="S92" s="762"/>
      <c r="T92" s="762"/>
      <c r="U92" s="762"/>
      <c r="V92" s="762"/>
      <c r="W92" s="762"/>
      <c r="X92" s="763"/>
    </row>
    <row r="93" spans="2:24" ht="23.1" customHeight="1" thickBot="1">
      <c r="B93" s="28"/>
      <c r="C93" s="244" t="s">
        <v>735</v>
      </c>
      <c r="D93" s="52"/>
      <c r="E93" s="52"/>
      <c r="F93" s="250">
        <f>+F42+F63+F89+F91</f>
        <v>5022513.0100000007</v>
      </c>
      <c r="G93" s="250">
        <f>+G42+G63+G89+G91</f>
        <v>1718047.4200000006</v>
      </c>
      <c r="H93" s="250">
        <f>+H42+H63+H89+H91</f>
        <v>1610573.64</v>
      </c>
      <c r="I93" s="30"/>
      <c r="K93" s="761"/>
      <c r="L93" s="762"/>
      <c r="M93" s="762"/>
      <c r="N93" s="762"/>
      <c r="O93" s="762"/>
      <c r="P93" s="762"/>
      <c r="Q93" s="762"/>
      <c r="R93" s="762"/>
      <c r="S93" s="762"/>
      <c r="T93" s="762"/>
      <c r="U93" s="762"/>
      <c r="V93" s="762"/>
      <c r="W93" s="762"/>
      <c r="X93" s="763"/>
    </row>
    <row r="94" spans="2:24" ht="23.1" customHeight="1">
      <c r="B94" s="28"/>
      <c r="C94" s="412"/>
      <c r="D94" s="412"/>
      <c r="E94" s="412"/>
      <c r="F94" s="412"/>
      <c r="G94" s="412"/>
      <c r="H94" s="412"/>
      <c r="I94" s="30"/>
      <c r="K94" s="761"/>
      <c r="L94" s="762"/>
      <c r="M94" s="762"/>
      <c r="N94" s="762"/>
      <c r="O94" s="762"/>
      <c r="P94" s="762"/>
      <c r="Q94" s="762"/>
      <c r="R94" s="762"/>
      <c r="S94" s="762"/>
      <c r="T94" s="762"/>
      <c r="U94" s="762"/>
      <c r="V94" s="762"/>
      <c r="W94" s="762"/>
      <c r="X94" s="763"/>
    </row>
    <row r="95" spans="2:24" ht="23.1" customHeight="1" thickBot="1">
      <c r="B95" s="28"/>
      <c r="C95" s="251" t="s">
        <v>736</v>
      </c>
      <c r="D95" s="252"/>
      <c r="E95" s="252"/>
      <c r="F95" s="280">
        <v>0</v>
      </c>
      <c r="G95" s="253">
        <f>+F96</f>
        <v>1853393.52</v>
      </c>
      <c r="H95" s="253">
        <f>+G96</f>
        <v>1746440.94</v>
      </c>
      <c r="I95" s="30"/>
      <c r="K95" s="761"/>
      <c r="L95" s="762"/>
      <c r="M95" s="762"/>
      <c r="N95" s="762"/>
      <c r="O95" s="762"/>
      <c r="P95" s="762"/>
      <c r="Q95" s="762"/>
      <c r="R95" s="762"/>
      <c r="S95" s="762"/>
      <c r="T95" s="762"/>
      <c r="U95" s="762"/>
      <c r="V95" s="762"/>
      <c r="W95" s="762"/>
      <c r="X95" s="763"/>
    </row>
    <row r="96" spans="2:24" ht="23.1" customHeight="1" thickBot="1">
      <c r="B96" s="28"/>
      <c r="C96" s="244" t="s">
        <v>737</v>
      </c>
      <c r="D96" s="52"/>
      <c r="E96" s="52"/>
      <c r="F96" s="250">
        <f>'FC-4_ACTIVO'!E92</f>
        <v>1853393.52</v>
      </c>
      <c r="G96" s="250">
        <f>+'FC-4_ACTIVO'!G92</f>
        <v>1746440.94</v>
      </c>
      <c r="H96" s="250">
        <f>+'FC-4_ACTIVO'!H92</f>
        <v>953404.7</v>
      </c>
      <c r="I96" s="30"/>
      <c r="K96" s="761"/>
      <c r="L96" s="762"/>
      <c r="M96" s="762"/>
      <c r="N96" s="762"/>
      <c r="O96" s="762"/>
      <c r="P96" s="762"/>
      <c r="Q96" s="762"/>
      <c r="R96" s="762"/>
      <c r="S96" s="762"/>
      <c r="T96" s="762"/>
      <c r="U96" s="762"/>
      <c r="V96" s="762"/>
      <c r="W96" s="762"/>
      <c r="X96" s="763"/>
    </row>
    <row r="97" spans="2:24" ht="23.1" customHeight="1">
      <c r="B97" s="28"/>
      <c r="C97" s="367"/>
      <c r="D97" s="368"/>
      <c r="E97" s="368"/>
      <c r="F97" s="369"/>
      <c r="G97" s="369"/>
      <c r="H97" s="369"/>
      <c r="I97" s="30"/>
      <c r="K97" s="761"/>
      <c r="L97" s="762"/>
      <c r="M97" s="762"/>
      <c r="N97" s="762"/>
      <c r="O97" s="762"/>
      <c r="P97" s="762"/>
      <c r="Q97" s="762"/>
      <c r="R97" s="762"/>
      <c r="S97" s="762"/>
      <c r="T97" s="762"/>
      <c r="U97" s="762"/>
      <c r="V97" s="762"/>
      <c r="W97" s="762"/>
      <c r="X97" s="763"/>
    </row>
    <row r="98" spans="2:24" ht="23.1" customHeight="1">
      <c r="B98" s="28"/>
      <c r="C98" s="73" t="s">
        <v>738</v>
      </c>
      <c r="D98" s="368"/>
      <c r="E98" s="368"/>
      <c r="F98" s="369"/>
      <c r="G98" s="369"/>
      <c r="H98" s="369"/>
      <c r="I98" s="30"/>
      <c r="K98" s="761"/>
      <c r="L98" s="762"/>
      <c r="M98" s="762"/>
      <c r="N98" s="762"/>
      <c r="O98" s="762"/>
      <c r="P98" s="762"/>
      <c r="Q98" s="762"/>
      <c r="R98" s="762"/>
      <c r="S98" s="762"/>
      <c r="T98" s="762"/>
      <c r="U98" s="762"/>
      <c r="V98" s="762"/>
      <c r="W98" s="762"/>
      <c r="X98" s="763"/>
    </row>
    <row r="99" spans="2:24" ht="23.1" customHeight="1">
      <c r="B99" s="28"/>
      <c r="C99" s="370" t="s">
        <v>739</v>
      </c>
      <c r="D99" s="368"/>
      <c r="E99" s="368"/>
      <c r="F99" s="369"/>
      <c r="G99" s="369"/>
      <c r="H99" s="369"/>
      <c r="I99" s="30"/>
      <c r="K99" s="761"/>
      <c r="L99" s="762"/>
      <c r="M99" s="762"/>
      <c r="N99" s="762"/>
      <c r="O99" s="762"/>
      <c r="P99" s="762"/>
      <c r="Q99" s="762"/>
      <c r="R99" s="762"/>
      <c r="S99" s="762"/>
      <c r="T99" s="762"/>
      <c r="U99" s="762"/>
      <c r="V99" s="762"/>
      <c r="W99" s="762"/>
      <c r="X99" s="763"/>
    </row>
    <row r="100" spans="2:24" ht="23.1" customHeight="1">
      <c r="B100" s="28"/>
      <c r="C100" s="367"/>
      <c r="D100" s="368"/>
      <c r="E100" s="368"/>
      <c r="F100" s="369"/>
      <c r="G100" s="369"/>
      <c r="H100" s="369"/>
      <c r="I100" s="30"/>
      <c r="K100" s="761"/>
      <c r="L100" s="762"/>
      <c r="M100" s="762"/>
      <c r="N100" s="762"/>
      <c r="O100" s="762"/>
      <c r="P100" s="762"/>
      <c r="Q100" s="762"/>
      <c r="R100" s="762"/>
      <c r="S100" s="762"/>
      <c r="T100" s="762"/>
      <c r="U100" s="762"/>
      <c r="V100" s="762"/>
      <c r="W100" s="762"/>
      <c r="X100" s="763"/>
    </row>
    <row r="101" spans="2:24" ht="23.1" customHeight="1" thickBot="1">
      <c r="B101" s="32"/>
      <c r="C101" s="1228"/>
      <c r="D101" s="1228"/>
      <c r="E101" s="1228"/>
      <c r="F101" s="1228"/>
      <c r="G101" s="1228"/>
      <c r="H101" s="62"/>
      <c r="I101" s="35"/>
      <c r="K101" s="764"/>
      <c r="L101" s="765"/>
      <c r="M101" s="765"/>
      <c r="N101" s="765"/>
      <c r="O101" s="765"/>
      <c r="P101" s="765"/>
      <c r="Q101" s="765"/>
      <c r="R101" s="765"/>
      <c r="S101" s="765"/>
      <c r="T101" s="765"/>
      <c r="U101" s="765"/>
      <c r="V101" s="765"/>
      <c r="W101" s="765"/>
      <c r="X101" s="766"/>
    </row>
    <row r="102" spans="2:24" ht="23.1" customHeight="1">
      <c r="J102" s="23" t="s">
        <v>248</v>
      </c>
    </row>
    <row r="103" spans="2:24" ht="12.75">
      <c r="C103" s="19" t="s">
        <v>98</v>
      </c>
      <c r="H103" s="63" t="s">
        <v>740</v>
      </c>
    </row>
    <row r="104" spans="2:24" ht="12.75">
      <c r="C104" s="19" t="s">
        <v>100</v>
      </c>
    </row>
    <row r="105" spans="2:24" ht="12.75">
      <c r="C105" s="19" t="s">
        <v>101</v>
      </c>
    </row>
    <row r="106" spans="2:24" ht="12.75">
      <c r="C106" s="19" t="s">
        <v>102</v>
      </c>
    </row>
    <row r="107" spans="2:24" ht="12.75">
      <c r="C107" s="19" t="s">
        <v>103</v>
      </c>
    </row>
  </sheetData>
  <sheetProtection sheet="1" objects="1" scenarios="1"/>
  <mergeCells count="3">
    <mergeCell ref="H6:H7"/>
    <mergeCell ref="D9:H9"/>
    <mergeCell ref="C101:G101"/>
  </mergeCells>
  <phoneticPr fontId="5" type="noConversion"/>
  <dataValidations count="2">
    <dataValidation type="decimal" operator="greaterThanOrEqual" allowBlank="1" showInputMessage="1" showErrorMessage="1" sqref="F75:H79 F18:H18 F25:H25 F38:H39 F55:H62 F67:H67 F70:H71" xr:uid="{D2B5FAF1-5B42-4B09-A104-3C8B8F23B94B}">
      <formula1>0</formula1>
    </dataValidation>
    <dataValidation type="decimal" operator="lessThanOrEqual" allowBlank="1" showInputMessage="1" showErrorMessage="1" sqref="F87:H88 F21:H21 F24:H24 F37:H37 F46:H53 F68:H69 F72:H72 F81:H85" xr:uid="{C2FB4362-64EE-4263-8751-1F582CE3C81B}">
      <formula1>0</formula1>
    </dataValidation>
  </dataValidations>
  <printOptions horizontalCentered="1" verticalCentered="1"/>
  <pageMargins left="0.35629921259842523" right="0.35629921259842523" top="0.60629921259842523" bottom="0.60629921259842523" header="0.5" footer="0.5"/>
  <pageSetup paperSize="9" scale="32" orientation="portrait" horizontalDpi="4294967292" verticalDpi="4294967292" r:id="rId1"/>
  <drawing r:id="rId2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12B43FA-B355-43F6-AF90-CD6486E9C967}">
  <sheetPr codeName="Hoja11">
    <pageSetUpPr fitToPage="1"/>
  </sheetPr>
  <dimension ref="A2:AJ61"/>
  <sheetViews>
    <sheetView tabSelected="1" topLeftCell="A19" zoomScale="115" zoomScaleNormal="115" workbookViewId="0">
      <selection activeCell="D29" sqref="D29"/>
    </sheetView>
  </sheetViews>
  <sheetFormatPr baseColWidth="10" defaultColWidth="10.6640625" defaultRowHeight="23.1" customHeight="1"/>
  <cols>
    <col min="1" max="1" width="4.109375" style="65" bestFit="1" customWidth="1"/>
    <col min="2" max="2" width="3.109375" style="65" customWidth="1"/>
    <col min="3" max="3" width="13.5546875" style="65" customWidth="1"/>
    <col min="4" max="4" width="42.6640625" style="65" customWidth="1"/>
    <col min="5" max="5" width="12.6640625" style="66" customWidth="1"/>
    <col min="6" max="6" width="17.109375" style="66" customWidth="1"/>
    <col min="7" max="8" width="15.6640625" style="66" customWidth="1"/>
    <col min="9" max="18" width="12.6640625" style="66" customWidth="1"/>
    <col min="19" max="19" width="3.33203125" style="65" customWidth="1"/>
    <col min="20" max="16384" width="10.6640625" style="65"/>
  </cols>
  <sheetData>
    <row r="2" spans="1:36" ht="23.1" customHeight="1">
      <c r="D2" s="391" t="str">
        <f>_GENERAL!D2</f>
        <v>Área de la Presidenta: Igualdad y Diversidad, Hacienda y Proyectos Estratégicos</v>
      </c>
    </row>
    <row r="3" spans="1:36" ht="23.1" customHeight="1">
      <c r="D3" s="391" t="str">
        <f>_GENERAL!D3</f>
        <v>Dirección Insular de Hacienda</v>
      </c>
    </row>
    <row r="4" spans="1:36" ht="23.1" customHeight="1" thickBot="1">
      <c r="A4" s="65" t="s">
        <v>195</v>
      </c>
    </row>
    <row r="5" spans="1:36" ht="9" customHeight="1">
      <c r="B5" s="67"/>
      <c r="C5" s="68"/>
      <c r="D5" s="68"/>
      <c r="E5" s="69"/>
      <c r="F5" s="69"/>
      <c r="G5" s="69"/>
      <c r="H5" s="69"/>
      <c r="I5" s="69"/>
      <c r="J5" s="69"/>
      <c r="K5" s="69"/>
      <c r="L5" s="69"/>
      <c r="M5" s="69"/>
      <c r="N5" s="69"/>
      <c r="O5" s="69"/>
      <c r="P5" s="69"/>
      <c r="Q5" s="69"/>
      <c r="R5" s="69"/>
      <c r="S5" s="70"/>
      <c r="U5" s="746"/>
      <c r="V5" s="747"/>
      <c r="W5" s="747"/>
      <c r="X5" s="747"/>
      <c r="Y5" s="747"/>
      <c r="Z5" s="747"/>
      <c r="AA5" s="747"/>
      <c r="AB5" s="747"/>
      <c r="AC5" s="747"/>
      <c r="AD5" s="747"/>
      <c r="AE5" s="747"/>
      <c r="AF5" s="747"/>
      <c r="AG5" s="747"/>
      <c r="AH5" s="748"/>
    </row>
    <row r="6" spans="1:36" ht="30" customHeight="1">
      <c r="B6" s="71"/>
      <c r="C6" s="40" t="s">
        <v>2</v>
      </c>
      <c r="R6" s="1212">
        <f>ejercicio</f>
        <v>2025</v>
      </c>
      <c r="S6" s="72"/>
      <c r="U6" s="751"/>
      <c r="V6" s="752"/>
      <c r="W6" s="752"/>
      <c r="X6" s="752"/>
      <c r="Y6" s="752"/>
      <c r="Z6" s="752"/>
      <c r="AA6" s="752"/>
      <c r="AB6" s="752"/>
      <c r="AC6" s="752"/>
      <c r="AD6" s="752"/>
      <c r="AE6" s="752"/>
      <c r="AF6" s="752"/>
      <c r="AG6" s="752"/>
      <c r="AH6" s="753"/>
    </row>
    <row r="7" spans="1:36" ht="30" customHeight="1">
      <c r="B7" s="71"/>
      <c r="C7" s="40" t="s">
        <v>3</v>
      </c>
      <c r="R7" s="1212"/>
      <c r="S7" s="72"/>
      <c r="U7" s="754"/>
      <c r="V7" s="755" t="s">
        <v>196</v>
      </c>
      <c r="W7" s="756"/>
      <c r="X7" s="756"/>
      <c r="Y7" s="756"/>
      <c r="Z7" s="756"/>
      <c r="AA7" s="756"/>
      <c r="AB7" s="756"/>
      <c r="AC7" s="756"/>
      <c r="AD7" s="756"/>
      <c r="AE7" s="756"/>
      <c r="AF7" s="756"/>
      <c r="AG7" s="756"/>
      <c r="AH7" s="757"/>
    </row>
    <row r="8" spans="1:36" ht="30" customHeight="1">
      <c r="B8" s="71"/>
      <c r="C8" s="73"/>
      <c r="R8" s="74"/>
      <c r="S8" s="72"/>
      <c r="U8" s="754"/>
      <c r="V8" s="756"/>
      <c r="W8" s="756"/>
      <c r="X8" s="756"/>
      <c r="Y8" s="756"/>
      <c r="Z8" s="756"/>
      <c r="AA8" s="756"/>
      <c r="AB8" s="756"/>
      <c r="AC8" s="756"/>
      <c r="AD8" s="756"/>
      <c r="AE8" s="756"/>
      <c r="AF8" s="756"/>
      <c r="AG8" s="756"/>
      <c r="AH8" s="757"/>
    </row>
    <row r="9" spans="1:36" s="39" customFormat="1" ht="30" customHeight="1">
      <c r="A9" s="877"/>
      <c r="B9" s="905"/>
      <c r="C9" s="21" t="s">
        <v>105</v>
      </c>
      <c r="D9" s="1229" t="str">
        <f>Entidad</f>
        <v>(MERCATENERIFE) Mercados Centrales de Abastecimiento de Tenerife, S.A.</v>
      </c>
      <c r="E9" s="1229"/>
      <c r="F9" s="1229"/>
      <c r="G9" s="1229"/>
      <c r="H9" s="1229"/>
      <c r="I9" s="1229"/>
      <c r="J9" s="1229"/>
      <c r="K9" s="1229"/>
      <c r="L9" s="1229"/>
      <c r="M9" s="1229"/>
      <c r="N9" s="1229"/>
      <c r="O9" s="1229"/>
      <c r="P9" s="1229"/>
      <c r="Q9" s="1229"/>
      <c r="R9" s="1229"/>
      <c r="S9" s="904"/>
      <c r="T9" s="877"/>
      <c r="U9" s="751"/>
      <c r="V9" s="752"/>
      <c r="W9" s="752"/>
      <c r="X9" s="752"/>
      <c r="Y9" s="752"/>
      <c r="Z9" s="752"/>
      <c r="AA9" s="752"/>
      <c r="AB9" s="752"/>
      <c r="AC9" s="752"/>
      <c r="AD9" s="752"/>
      <c r="AE9" s="752"/>
      <c r="AF9" s="752"/>
      <c r="AG9" s="752"/>
      <c r="AH9" s="753"/>
      <c r="AI9" s="877"/>
      <c r="AJ9" s="877"/>
    </row>
    <row r="10" spans="1:36" ht="6.95" customHeight="1">
      <c r="B10" s="71"/>
      <c r="S10" s="72"/>
      <c r="U10" s="751"/>
      <c r="V10" s="752"/>
      <c r="W10" s="752"/>
      <c r="X10" s="752"/>
      <c r="Y10" s="752"/>
      <c r="Z10" s="752"/>
      <c r="AA10" s="752"/>
      <c r="AB10" s="752"/>
      <c r="AC10" s="752"/>
      <c r="AD10" s="752"/>
      <c r="AE10" s="752"/>
      <c r="AF10" s="752"/>
      <c r="AG10" s="752"/>
      <c r="AH10" s="753"/>
    </row>
    <row r="11" spans="1:36" s="79" customFormat="1" ht="30" customHeight="1">
      <c r="B11" s="75"/>
      <c r="C11" s="76" t="s">
        <v>741</v>
      </c>
      <c r="D11" s="76"/>
      <c r="E11" s="77"/>
      <c r="F11" s="77"/>
      <c r="G11" s="77"/>
      <c r="H11" s="77"/>
      <c r="I11" s="77"/>
      <c r="J11" s="77"/>
      <c r="K11" s="77"/>
      <c r="L11" s="77"/>
      <c r="M11" s="77"/>
      <c r="N11" s="77"/>
      <c r="O11" s="77"/>
      <c r="P11" s="77"/>
      <c r="Q11" s="77"/>
      <c r="R11" s="77"/>
      <c r="S11" s="78"/>
      <c r="U11" s="751"/>
      <c r="V11" s="752"/>
      <c r="W11" s="752"/>
      <c r="X11" s="752"/>
      <c r="Y11" s="752"/>
      <c r="Z11" s="752"/>
      <c r="AA11" s="752"/>
      <c r="AB11" s="752"/>
      <c r="AC11" s="752"/>
      <c r="AD11" s="752"/>
      <c r="AE11" s="752"/>
      <c r="AF11" s="752"/>
      <c r="AG11" s="752"/>
      <c r="AH11" s="753"/>
    </row>
    <row r="12" spans="1:36" s="79" customFormat="1" ht="30" customHeight="1">
      <c r="B12" s="75"/>
      <c r="E12" s="64"/>
      <c r="F12" s="64"/>
      <c r="G12" s="64"/>
      <c r="H12" s="64"/>
      <c r="I12" s="64"/>
      <c r="J12" s="64"/>
      <c r="K12" s="64"/>
      <c r="L12" s="64"/>
      <c r="M12" s="64"/>
      <c r="N12" s="64"/>
      <c r="O12" s="64"/>
      <c r="P12" s="64"/>
      <c r="Q12" s="64"/>
      <c r="R12" s="64"/>
      <c r="S12" s="78"/>
      <c r="U12" s="751"/>
      <c r="V12" s="752"/>
      <c r="W12" s="752"/>
      <c r="X12" s="752"/>
      <c r="Y12" s="752"/>
      <c r="Z12" s="752"/>
      <c r="AA12" s="752"/>
      <c r="AB12" s="752"/>
      <c r="AC12" s="752"/>
      <c r="AD12" s="752"/>
      <c r="AE12" s="752"/>
      <c r="AF12" s="752"/>
      <c r="AG12" s="752"/>
      <c r="AH12" s="753"/>
    </row>
    <row r="13" spans="1:36" s="82" customFormat="1" ht="18.95" customHeight="1">
      <c r="B13" s="80"/>
      <c r="C13" s="1338" t="s">
        <v>742</v>
      </c>
      <c r="D13" s="1338" t="s">
        <v>743</v>
      </c>
      <c r="E13" s="1338" t="s">
        <v>744</v>
      </c>
      <c r="F13" s="845" t="s">
        <v>745</v>
      </c>
      <c r="G13" s="1338" t="s">
        <v>746</v>
      </c>
      <c r="H13" s="237" t="s">
        <v>747</v>
      </c>
      <c r="I13" s="1341" t="s">
        <v>748</v>
      </c>
      <c r="J13" s="1342"/>
      <c r="K13" s="1342"/>
      <c r="L13" s="1342"/>
      <c r="M13" s="1343"/>
      <c r="N13" s="1341" t="s">
        <v>749</v>
      </c>
      <c r="O13" s="1342"/>
      <c r="P13" s="1342"/>
      <c r="Q13" s="1342"/>
      <c r="R13" s="1347" t="s">
        <v>750</v>
      </c>
      <c r="S13" s="81"/>
      <c r="U13" s="751"/>
      <c r="V13" s="752"/>
      <c r="W13" s="752"/>
      <c r="X13" s="752"/>
      <c r="Y13" s="752"/>
      <c r="Z13" s="752"/>
      <c r="AA13" s="752"/>
      <c r="AB13" s="752"/>
      <c r="AC13" s="752"/>
      <c r="AD13" s="752"/>
      <c r="AE13" s="752"/>
      <c r="AF13" s="752"/>
      <c r="AG13" s="752"/>
      <c r="AH13" s="753"/>
    </row>
    <row r="14" spans="1:36" s="17" customFormat="1" ht="18.95" customHeight="1">
      <c r="B14" s="80"/>
      <c r="C14" s="1339"/>
      <c r="D14" s="1339"/>
      <c r="E14" s="1339"/>
      <c r="F14" s="1336" t="s">
        <v>751</v>
      </c>
      <c r="G14" s="1339"/>
      <c r="H14" s="238" t="s">
        <v>752</v>
      </c>
      <c r="I14" s="1344"/>
      <c r="J14" s="1345"/>
      <c r="K14" s="1345"/>
      <c r="L14" s="1345"/>
      <c r="M14" s="1346"/>
      <c r="N14" s="1344"/>
      <c r="O14" s="1345"/>
      <c r="P14" s="1345"/>
      <c r="Q14" s="1345"/>
      <c r="R14" s="1348"/>
      <c r="S14" s="81"/>
      <c r="U14" s="751"/>
      <c r="V14" s="752"/>
      <c r="W14" s="752"/>
      <c r="X14" s="752"/>
      <c r="Y14" s="752"/>
      <c r="Z14" s="752"/>
      <c r="AA14" s="752"/>
      <c r="AB14" s="752"/>
      <c r="AC14" s="752"/>
      <c r="AD14" s="752"/>
      <c r="AE14" s="752"/>
      <c r="AF14" s="752"/>
      <c r="AG14" s="752"/>
      <c r="AH14" s="753"/>
    </row>
    <row r="15" spans="1:36" s="17" customFormat="1" ht="18.95" customHeight="1">
      <c r="B15" s="80"/>
      <c r="C15" s="1340"/>
      <c r="D15" s="1340"/>
      <c r="E15" s="1340"/>
      <c r="F15" s="1337"/>
      <c r="G15" s="1340"/>
      <c r="H15" s="239">
        <f>ejercicio-1</f>
        <v>2024</v>
      </c>
      <c r="I15" s="239">
        <f>+ejercicio</f>
        <v>2025</v>
      </c>
      <c r="J15" s="239">
        <f>ejercicio+1</f>
        <v>2026</v>
      </c>
      <c r="K15" s="239">
        <f>ejercicio+2</f>
        <v>2027</v>
      </c>
      <c r="L15" s="239">
        <f>ejercicio+3</f>
        <v>2028</v>
      </c>
      <c r="M15" s="239" t="s">
        <v>753</v>
      </c>
      <c r="N15" s="239">
        <f>+ejercicio</f>
        <v>2025</v>
      </c>
      <c r="O15" s="239">
        <f>ejercicio+1</f>
        <v>2026</v>
      </c>
      <c r="P15" s="239">
        <f>ejercicio+2</f>
        <v>2027</v>
      </c>
      <c r="Q15" s="239">
        <f>ejercicio+3</f>
        <v>2028</v>
      </c>
      <c r="R15" s="239" t="s">
        <v>753</v>
      </c>
      <c r="S15" s="81"/>
      <c r="U15" s="751"/>
      <c r="V15" s="752"/>
      <c r="W15" s="752"/>
      <c r="X15" s="752"/>
      <c r="Y15" s="752"/>
      <c r="Z15" s="752"/>
      <c r="AA15" s="752"/>
      <c r="AB15" s="752"/>
      <c r="AC15" s="752"/>
      <c r="AD15" s="752"/>
      <c r="AE15" s="752"/>
      <c r="AF15" s="752"/>
      <c r="AG15" s="752"/>
      <c r="AH15" s="753"/>
      <c r="AJ15" s="17">
        <f>ejercicio-1</f>
        <v>2024</v>
      </c>
    </row>
    <row r="16" spans="1:36" ht="23.1" customHeight="1">
      <c r="B16" s="80"/>
      <c r="C16" s="972">
        <v>1</v>
      </c>
      <c r="D16" s="583" t="s">
        <v>754</v>
      </c>
      <c r="E16" s="973">
        <v>2025</v>
      </c>
      <c r="F16" s="973">
        <v>2025</v>
      </c>
      <c r="G16" s="974">
        <v>100000</v>
      </c>
      <c r="H16" s="974"/>
      <c r="I16" s="974">
        <v>100000</v>
      </c>
      <c r="J16" s="974"/>
      <c r="K16" s="974"/>
      <c r="L16" s="974"/>
      <c r="M16" s="974"/>
      <c r="N16" s="974"/>
      <c r="O16" s="974"/>
      <c r="P16" s="974"/>
      <c r="Q16" s="974"/>
      <c r="R16" s="974"/>
      <c r="S16" s="72"/>
      <c r="U16" s="751"/>
      <c r="V16" s="752"/>
      <c r="W16" s="752"/>
      <c r="X16" s="752"/>
      <c r="Y16" s="752"/>
      <c r="Z16" s="752"/>
      <c r="AA16" s="752"/>
      <c r="AB16" s="752"/>
      <c r="AC16" s="752"/>
      <c r="AD16" s="752"/>
      <c r="AE16" s="752"/>
      <c r="AF16" s="752"/>
      <c r="AG16" s="752"/>
      <c r="AH16" s="753"/>
      <c r="AJ16" s="65">
        <f>ejercicio</f>
        <v>2025</v>
      </c>
    </row>
    <row r="17" spans="2:36" ht="23.1" customHeight="1">
      <c r="B17" s="80"/>
      <c r="C17" s="975">
        <v>2</v>
      </c>
      <c r="D17" s="584" t="s">
        <v>755</v>
      </c>
      <c r="E17" s="976">
        <v>2025</v>
      </c>
      <c r="F17" s="976">
        <v>2025</v>
      </c>
      <c r="G17" s="977">
        <v>100000</v>
      </c>
      <c r="H17" s="977"/>
      <c r="I17" s="977">
        <v>100000</v>
      </c>
      <c r="J17" s="977"/>
      <c r="K17" s="977"/>
      <c r="L17" s="977"/>
      <c r="M17" s="977"/>
      <c r="N17" s="977"/>
      <c r="O17" s="977"/>
      <c r="P17" s="977"/>
      <c r="Q17" s="977"/>
      <c r="R17" s="977"/>
      <c r="S17" s="72"/>
      <c r="U17" s="751"/>
      <c r="V17" s="752"/>
      <c r="W17" s="752"/>
      <c r="X17" s="752"/>
      <c r="Y17" s="752"/>
      <c r="Z17" s="752"/>
      <c r="AA17" s="752"/>
      <c r="AB17" s="752"/>
      <c r="AC17" s="752"/>
      <c r="AD17" s="752"/>
      <c r="AE17" s="752"/>
      <c r="AF17" s="752"/>
      <c r="AG17" s="752"/>
      <c r="AH17" s="753"/>
      <c r="AJ17" s="65">
        <f>ejercicio+1</f>
        <v>2026</v>
      </c>
    </row>
    <row r="18" spans="2:36" ht="23.1" customHeight="1">
      <c r="B18" s="80"/>
      <c r="C18" s="975">
        <v>3</v>
      </c>
      <c r="D18" s="584" t="s">
        <v>756</v>
      </c>
      <c r="E18" s="976">
        <v>2025</v>
      </c>
      <c r="F18" s="976">
        <v>2025</v>
      </c>
      <c r="G18" s="977">
        <v>500000</v>
      </c>
      <c r="H18" s="977"/>
      <c r="I18" s="977">
        <v>500000</v>
      </c>
      <c r="J18" s="977"/>
      <c r="K18" s="977"/>
      <c r="L18" s="977"/>
      <c r="M18" s="977"/>
      <c r="N18" s="977"/>
      <c r="O18" s="977"/>
      <c r="P18" s="977"/>
      <c r="Q18" s="977"/>
      <c r="R18" s="977"/>
      <c r="S18" s="72"/>
      <c r="U18" s="751"/>
      <c r="V18" s="752"/>
      <c r="W18" s="752"/>
      <c r="X18" s="752"/>
      <c r="Y18" s="752"/>
      <c r="Z18" s="752"/>
      <c r="AA18" s="752"/>
      <c r="AB18" s="752"/>
      <c r="AC18" s="752"/>
      <c r="AD18" s="752"/>
      <c r="AE18" s="752"/>
      <c r="AF18" s="752"/>
      <c r="AG18" s="752"/>
      <c r="AH18" s="753"/>
      <c r="AJ18" s="65">
        <f>ejercicio+2</f>
        <v>2027</v>
      </c>
    </row>
    <row r="19" spans="2:36" ht="23.1" customHeight="1">
      <c r="B19" s="80"/>
      <c r="C19" s="975">
        <v>4</v>
      </c>
      <c r="D19" s="584" t="s">
        <v>757</v>
      </c>
      <c r="E19" s="976">
        <v>2025</v>
      </c>
      <c r="F19" s="976">
        <v>2025</v>
      </c>
      <c r="G19" s="977">
        <v>12000</v>
      </c>
      <c r="H19" s="977"/>
      <c r="I19" s="977">
        <v>12000</v>
      </c>
      <c r="J19" s="977"/>
      <c r="K19" s="977"/>
      <c r="L19" s="977"/>
      <c r="M19" s="977"/>
      <c r="N19" s="977"/>
      <c r="O19" s="977"/>
      <c r="P19" s="977"/>
      <c r="Q19" s="977"/>
      <c r="R19" s="977"/>
      <c r="S19" s="72"/>
      <c r="U19" s="751"/>
      <c r="V19" s="752"/>
      <c r="W19" s="752"/>
      <c r="X19" s="752"/>
      <c r="Y19" s="752"/>
      <c r="Z19" s="752"/>
      <c r="AA19" s="752"/>
      <c r="AB19" s="752"/>
      <c r="AC19" s="752"/>
      <c r="AD19" s="752"/>
      <c r="AE19" s="752"/>
      <c r="AF19" s="752"/>
      <c r="AG19" s="752"/>
      <c r="AH19" s="753"/>
      <c r="AJ19" s="65">
        <f>ejercicio+3</f>
        <v>2028</v>
      </c>
    </row>
    <row r="20" spans="2:36" ht="23.1" customHeight="1">
      <c r="B20" s="80"/>
      <c r="C20" s="975">
        <v>5</v>
      </c>
      <c r="D20" s="584" t="s">
        <v>758</v>
      </c>
      <c r="E20" s="976">
        <v>2025</v>
      </c>
      <c r="F20" s="976">
        <v>2025</v>
      </c>
      <c r="G20" s="977">
        <v>100000</v>
      </c>
      <c r="H20" s="977"/>
      <c r="I20" s="977">
        <v>100000</v>
      </c>
      <c r="J20" s="977"/>
      <c r="K20" s="977"/>
      <c r="L20" s="977"/>
      <c r="M20" s="977"/>
      <c r="N20" s="977"/>
      <c r="O20" s="977"/>
      <c r="P20" s="977"/>
      <c r="Q20" s="977"/>
      <c r="R20" s="977"/>
      <c r="S20" s="72"/>
      <c r="U20" s="751"/>
      <c r="V20" s="752"/>
      <c r="W20" s="752"/>
      <c r="X20" s="752"/>
      <c r="Y20" s="752"/>
      <c r="Z20" s="752"/>
      <c r="AA20" s="752"/>
      <c r="AB20" s="752"/>
      <c r="AC20" s="752"/>
      <c r="AD20" s="752"/>
      <c r="AE20" s="752"/>
      <c r="AF20" s="752"/>
      <c r="AG20" s="752"/>
      <c r="AH20" s="753"/>
      <c r="AJ20" s="65" t="s">
        <v>753</v>
      </c>
    </row>
    <row r="21" spans="2:36" ht="23.1" customHeight="1">
      <c r="B21" s="80"/>
      <c r="C21" s="975">
        <v>6</v>
      </c>
      <c r="D21" s="584" t="s">
        <v>759</v>
      </c>
      <c r="E21" s="976">
        <v>2025</v>
      </c>
      <c r="F21" s="976">
        <v>2025</v>
      </c>
      <c r="G21" s="977">
        <v>1000000</v>
      </c>
      <c r="H21" s="977"/>
      <c r="I21" s="977">
        <v>1000000</v>
      </c>
      <c r="J21" s="977"/>
      <c r="K21" s="977"/>
      <c r="L21" s="977"/>
      <c r="M21" s="977"/>
      <c r="N21" s="977"/>
      <c r="O21" s="977"/>
      <c r="P21" s="977"/>
      <c r="Q21" s="977"/>
      <c r="R21" s="977"/>
      <c r="S21" s="72"/>
      <c r="U21" s="751"/>
      <c r="V21" s="752"/>
      <c r="W21" s="752"/>
      <c r="X21" s="752"/>
      <c r="Y21" s="752"/>
      <c r="Z21" s="752"/>
      <c r="AA21" s="752"/>
      <c r="AB21" s="752"/>
      <c r="AC21" s="752"/>
      <c r="AD21" s="752"/>
      <c r="AE21" s="752"/>
      <c r="AF21" s="752"/>
      <c r="AG21" s="752"/>
      <c r="AH21" s="753"/>
    </row>
    <row r="22" spans="2:36" ht="23.1" customHeight="1">
      <c r="B22" s="80"/>
      <c r="C22" s="975">
        <v>7</v>
      </c>
      <c r="D22" s="584" t="s">
        <v>760</v>
      </c>
      <c r="E22" s="976">
        <v>2025</v>
      </c>
      <c r="F22" s="976">
        <v>2025</v>
      </c>
      <c r="G22" s="977">
        <v>200000</v>
      </c>
      <c r="H22" s="977"/>
      <c r="I22" s="977">
        <v>200000</v>
      </c>
      <c r="J22" s="977"/>
      <c r="K22" s="977"/>
      <c r="L22" s="977"/>
      <c r="M22" s="977"/>
      <c r="N22" s="977"/>
      <c r="O22" s="977"/>
      <c r="P22" s="977"/>
      <c r="Q22" s="977"/>
      <c r="R22" s="977"/>
      <c r="S22" s="72"/>
      <c r="U22" s="751"/>
      <c r="V22" s="752"/>
      <c r="W22" s="752"/>
      <c r="X22" s="752"/>
      <c r="Y22" s="752"/>
      <c r="Z22" s="752"/>
      <c r="AA22" s="752"/>
      <c r="AB22" s="752"/>
      <c r="AC22" s="752"/>
      <c r="AD22" s="752"/>
      <c r="AE22" s="752"/>
      <c r="AF22" s="752"/>
      <c r="AG22" s="752"/>
      <c r="AH22" s="753"/>
    </row>
    <row r="23" spans="2:36" ht="23.1" customHeight="1">
      <c r="B23" s="80"/>
      <c r="C23" s="975">
        <v>8</v>
      </c>
      <c r="D23" s="584" t="s">
        <v>761</v>
      </c>
      <c r="E23" s="976">
        <v>2025</v>
      </c>
      <c r="F23" s="976">
        <v>2025</v>
      </c>
      <c r="G23" s="977">
        <v>180000</v>
      </c>
      <c r="H23" s="977"/>
      <c r="I23" s="977">
        <v>180000</v>
      </c>
      <c r="J23" s="977"/>
      <c r="K23" s="977"/>
      <c r="L23" s="977"/>
      <c r="M23" s="977"/>
      <c r="N23" s="977"/>
      <c r="O23" s="977"/>
      <c r="P23" s="977"/>
      <c r="Q23" s="977"/>
      <c r="R23" s="977"/>
      <c r="S23" s="72"/>
      <c r="U23" s="751"/>
      <c r="V23" s="752"/>
      <c r="W23" s="752"/>
      <c r="X23" s="752"/>
      <c r="Y23" s="752"/>
      <c r="Z23" s="752"/>
      <c r="AA23" s="752"/>
      <c r="AB23" s="752"/>
      <c r="AC23" s="752"/>
      <c r="AD23" s="752"/>
      <c r="AE23" s="752"/>
      <c r="AF23" s="752"/>
      <c r="AG23" s="752"/>
      <c r="AH23" s="753"/>
    </row>
    <row r="24" spans="2:36" ht="23.1" customHeight="1">
      <c r="B24" s="80"/>
      <c r="C24" s="975">
        <v>9</v>
      </c>
      <c r="D24" s="584" t="s">
        <v>762</v>
      </c>
      <c r="E24" s="976">
        <v>2025</v>
      </c>
      <c r="F24" s="976">
        <v>2025</v>
      </c>
      <c r="G24" s="977">
        <v>2300000</v>
      </c>
      <c r="H24" s="977"/>
      <c r="I24" s="977">
        <v>2300000</v>
      </c>
      <c r="J24" s="977"/>
      <c r="K24" s="977"/>
      <c r="L24" s="977"/>
      <c r="M24" s="977"/>
      <c r="N24" s="977"/>
      <c r="O24" s="977"/>
      <c r="P24" s="977"/>
      <c r="Q24" s="977"/>
      <c r="R24" s="977"/>
      <c r="S24" s="72"/>
      <c r="U24" s="751"/>
      <c r="V24" s="752"/>
      <c r="W24" s="752"/>
      <c r="X24" s="752"/>
      <c r="Y24" s="752"/>
      <c r="Z24" s="752"/>
      <c r="AA24" s="752"/>
      <c r="AB24" s="752"/>
      <c r="AC24" s="752"/>
      <c r="AD24" s="752"/>
      <c r="AE24" s="752"/>
      <c r="AF24" s="752"/>
      <c r="AG24" s="752"/>
      <c r="AH24" s="753"/>
    </row>
    <row r="25" spans="2:36" ht="23.1" customHeight="1">
      <c r="B25" s="80"/>
      <c r="C25" s="975">
        <v>10</v>
      </c>
      <c r="D25" s="584" t="s">
        <v>763</v>
      </c>
      <c r="E25" s="976">
        <v>2025</v>
      </c>
      <c r="F25" s="976">
        <v>2025</v>
      </c>
      <c r="G25" s="977">
        <v>120000</v>
      </c>
      <c r="H25" s="977"/>
      <c r="I25" s="977">
        <v>120000</v>
      </c>
      <c r="J25" s="977"/>
      <c r="K25" s="977"/>
      <c r="L25" s="977"/>
      <c r="M25" s="977"/>
      <c r="N25" s="977"/>
      <c r="O25" s="977"/>
      <c r="P25" s="977"/>
      <c r="Q25" s="977"/>
      <c r="R25" s="977"/>
      <c r="S25" s="72"/>
      <c r="U25" s="751"/>
      <c r="V25" s="752"/>
      <c r="W25" s="752"/>
      <c r="X25" s="752"/>
      <c r="Y25" s="752"/>
      <c r="Z25" s="752"/>
      <c r="AA25" s="752"/>
      <c r="AB25" s="752"/>
      <c r="AC25" s="752"/>
      <c r="AD25" s="752"/>
      <c r="AE25" s="752"/>
      <c r="AF25" s="752"/>
      <c r="AG25" s="752"/>
      <c r="AH25" s="753"/>
    </row>
    <row r="26" spans="2:36" ht="23.1" customHeight="1">
      <c r="B26" s="80"/>
      <c r="C26" s="975">
        <v>11</v>
      </c>
      <c r="D26" s="584" t="s">
        <v>764</v>
      </c>
      <c r="E26" s="976">
        <v>2026</v>
      </c>
      <c r="F26" s="976">
        <v>2026</v>
      </c>
      <c r="G26" s="977">
        <v>250000</v>
      </c>
      <c r="H26" s="977"/>
      <c r="I26" s="977"/>
      <c r="J26" s="977">
        <v>250000</v>
      </c>
      <c r="K26" s="977"/>
      <c r="L26" s="977"/>
      <c r="M26" s="977"/>
      <c r="N26" s="977"/>
      <c r="O26" s="977"/>
      <c r="P26" s="977"/>
      <c r="Q26" s="977"/>
      <c r="R26" s="977"/>
      <c r="S26" s="72"/>
      <c r="U26" s="758"/>
      <c r="V26" s="759"/>
      <c r="W26" s="759"/>
      <c r="X26" s="759"/>
      <c r="Y26" s="759"/>
      <c r="Z26" s="759"/>
      <c r="AA26" s="759"/>
      <c r="AB26" s="759"/>
      <c r="AC26" s="759"/>
      <c r="AD26" s="759"/>
      <c r="AE26" s="759"/>
      <c r="AF26" s="759"/>
      <c r="AG26" s="759"/>
      <c r="AH26" s="760"/>
    </row>
    <row r="27" spans="2:36" ht="23.1" customHeight="1">
      <c r="B27" s="80"/>
      <c r="C27" s="975">
        <v>12</v>
      </c>
      <c r="D27" s="584" t="s">
        <v>765</v>
      </c>
      <c r="E27" s="976">
        <v>2026</v>
      </c>
      <c r="F27" s="976">
        <v>2026</v>
      </c>
      <c r="G27" s="977">
        <v>500000</v>
      </c>
      <c r="H27" s="977"/>
      <c r="I27" s="977"/>
      <c r="J27" s="977">
        <v>500000</v>
      </c>
      <c r="K27" s="977"/>
      <c r="L27" s="977"/>
      <c r="M27" s="977"/>
      <c r="N27" s="977"/>
      <c r="O27" s="977"/>
      <c r="P27" s="977"/>
      <c r="Q27" s="977"/>
      <c r="R27" s="977"/>
      <c r="S27" s="72"/>
      <c r="U27" s="758"/>
      <c r="V27" s="759"/>
      <c r="W27" s="759"/>
      <c r="X27" s="759"/>
      <c r="Y27" s="759"/>
      <c r="Z27" s="759"/>
      <c r="AA27" s="759"/>
      <c r="AB27" s="759"/>
      <c r="AC27" s="759"/>
      <c r="AD27" s="759"/>
      <c r="AE27" s="759"/>
      <c r="AF27" s="759"/>
      <c r="AG27" s="759"/>
      <c r="AH27" s="760"/>
    </row>
    <row r="28" spans="2:36" ht="23.1" customHeight="1">
      <c r="B28" s="80"/>
      <c r="C28" s="975">
        <v>13</v>
      </c>
      <c r="D28" s="584" t="s">
        <v>766</v>
      </c>
      <c r="E28" s="976">
        <v>2026</v>
      </c>
      <c r="F28" s="976">
        <v>2026</v>
      </c>
      <c r="G28" s="977">
        <v>100000</v>
      </c>
      <c r="H28" s="977"/>
      <c r="I28" s="977"/>
      <c r="J28" s="977">
        <v>100000</v>
      </c>
      <c r="K28" s="977"/>
      <c r="L28" s="977"/>
      <c r="M28" s="977"/>
      <c r="N28" s="977"/>
      <c r="O28" s="977"/>
      <c r="P28" s="977"/>
      <c r="Q28" s="977"/>
      <c r="R28" s="977"/>
      <c r="S28" s="72"/>
      <c r="U28" s="751"/>
      <c r="V28" s="752"/>
      <c r="W28" s="752"/>
      <c r="X28" s="752"/>
      <c r="Y28" s="752"/>
      <c r="Z28" s="752"/>
      <c r="AA28" s="752"/>
      <c r="AB28" s="752"/>
      <c r="AC28" s="752"/>
      <c r="AD28" s="752"/>
      <c r="AE28" s="752"/>
      <c r="AF28" s="752"/>
      <c r="AG28" s="752"/>
      <c r="AH28" s="753"/>
    </row>
    <row r="29" spans="2:36" ht="23.1" customHeight="1">
      <c r="B29" s="80"/>
      <c r="C29" s="975">
        <v>14</v>
      </c>
      <c r="D29" s="584" t="s">
        <v>767</v>
      </c>
      <c r="E29" s="976">
        <v>2026</v>
      </c>
      <c r="F29" s="976">
        <v>2026</v>
      </c>
      <c r="G29" s="977">
        <v>75000</v>
      </c>
      <c r="H29" s="977"/>
      <c r="I29" s="977"/>
      <c r="J29" s="977">
        <v>75000</v>
      </c>
      <c r="K29" s="977"/>
      <c r="L29" s="977"/>
      <c r="M29" s="977"/>
      <c r="N29" s="977"/>
      <c r="O29" s="977"/>
      <c r="P29" s="977"/>
      <c r="Q29" s="977"/>
      <c r="R29" s="977"/>
      <c r="S29" s="72"/>
      <c r="U29" s="751"/>
      <c r="V29" s="752"/>
      <c r="W29" s="752"/>
      <c r="X29" s="752"/>
      <c r="Y29" s="752"/>
      <c r="Z29" s="752"/>
      <c r="AA29" s="752"/>
      <c r="AB29" s="752"/>
      <c r="AC29" s="752"/>
      <c r="AD29" s="752"/>
      <c r="AE29" s="752"/>
      <c r="AF29" s="752"/>
      <c r="AG29" s="752"/>
      <c r="AH29" s="753"/>
    </row>
    <row r="30" spans="2:36" ht="23.1" customHeight="1">
      <c r="B30" s="80"/>
      <c r="C30" s="975">
        <v>15</v>
      </c>
      <c r="D30" s="584" t="s">
        <v>768</v>
      </c>
      <c r="E30" s="976">
        <v>2027</v>
      </c>
      <c r="F30" s="976">
        <v>2027</v>
      </c>
      <c r="G30" s="977">
        <v>500000</v>
      </c>
      <c r="H30" s="977"/>
      <c r="I30" s="977"/>
      <c r="J30" s="977"/>
      <c r="K30" s="977">
        <v>500000</v>
      </c>
      <c r="L30" s="977"/>
      <c r="M30" s="977" t="s">
        <v>769</v>
      </c>
      <c r="N30" s="977"/>
      <c r="O30" s="977"/>
      <c r="P30" s="977"/>
      <c r="Q30" s="977"/>
      <c r="R30" s="977"/>
      <c r="S30" s="72"/>
      <c r="U30" s="751"/>
      <c r="V30" s="752"/>
      <c r="W30" s="752"/>
      <c r="X30" s="752"/>
      <c r="Y30" s="752"/>
      <c r="Z30" s="752"/>
      <c r="AA30" s="752"/>
      <c r="AB30" s="752"/>
      <c r="AC30" s="752"/>
      <c r="AD30" s="752"/>
      <c r="AE30" s="752"/>
      <c r="AF30" s="752"/>
      <c r="AG30" s="752"/>
      <c r="AH30" s="753"/>
    </row>
    <row r="31" spans="2:36" ht="23.1" customHeight="1">
      <c r="B31" s="80"/>
      <c r="C31" s="975">
        <v>16</v>
      </c>
      <c r="D31" s="584" t="s">
        <v>770</v>
      </c>
      <c r="E31" s="976">
        <v>2028</v>
      </c>
      <c r="F31" s="976">
        <v>2028</v>
      </c>
      <c r="G31" s="977">
        <v>800000</v>
      </c>
      <c r="H31" s="977"/>
      <c r="I31" s="977"/>
      <c r="J31" s="977"/>
      <c r="K31" s="977"/>
      <c r="L31" s="977">
        <v>800000</v>
      </c>
      <c r="M31" s="977"/>
      <c r="N31" s="977"/>
      <c r="O31" s="977"/>
      <c r="P31" s="977"/>
      <c r="Q31" s="977"/>
      <c r="R31" s="977"/>
      <c r="S31" s="72"/>
      <c r="U31" s="751"/>
      <c r="V31" s="752"/>
      <c r="W31" s="752"/>
      <c r="X31" s="752"/>
      <c r="Y31" s="752"/>
      <c r="Z31" s="752"/>
      <c r="AA31" s="752"/>
      <c r="AB31" s="752"/>
      <c r="AC31" s="752"/>
      <c r="AD31" s="752"/>
      <c r="AE31" s="752"/>
      <c r="AF31" s="752"/>
      <c r="AG31" s="752"/>
      <c r="AH31" s="753"/>
    </row>
    <row r="32" spans="2:36" ht="23.1" customHeight="1">
      <c r="B32" s="80"/>
      <c r="C32" s="975">
        <v>17</v>
      </c>
      <c r="D32" s="584" t="s">
        <v>771</v>
      </c>
      <c r="E32" s="976">
        <v>2029</v>
      </c>
      <c r="F32" s="976" t="s">
        <v>753</v>
      </c>
      <c r="G32" s="977">
        <v>500000</v>
      </c>
      <c r="H32" s="977"/>
      <c r="I32" s="977"/>
      <c r="J32" s="977"/>
      <c r="K32" s="977"/>
      <c r="L32" s="977"/>
      <c r="M32" s="977">
        <v>500000</v>
      </c>
      <c r="N32" s="977"/>
      <c r="O32" s="977"/>
      <c r="P32" s="977"/>
      <c r="Q32" s="977"/>
      <c r="R32" s="977"/>
      <c r="S32" s="72"/>
      <c r="U32" s="761"/>
      <c r="V32" s="762"/>
      <c r="W32" s="762"/>
      <c r="X32" s="762"/>
      <c r="Y32" s="762"/>
      <c r="Z32" s="762"/>
      <c r="AA32" s="762"/>
      <c r="AB32" s="762"/>
      <c r="AC32" s="762"/>
      <c r="AD32" s="762"/>
      <c r="AE32" s="762"/>
      <c r="AF32" s="762"/>
      <c r="AG32" s="762"/>
      <c r="AH32" s="763"/>
    </row>
    <row r="33" spans="2:34" ht="23.1" customHeight="1">
      <c r="B33" s="80"/>
      <c r="C33" s="975">
        <v>18</v>
      </c>
      <c r="D33" s="584"/>
      <c r="E33" s="976"/>
      <c r="F33" s="976"/>
      <c r="G33" s="977"/>
      <c r="H33" s="977"/>
      <c r="I33" s="977"/>
      <c r="J33" s="977"/>
      <c r="K33" s="977"/>
      <c r="L33" s="977"/>
      <c r="M33" s="977"/>
      <c r="N33" s="977"/>
      <c r="O33" s="977"/>
      <c r="P33" s="977"/>
      <c r="Q33" s="977"/>
      <c r="R33" s="977"/>
      <c r="S33" s="72"/>
      <c r="U33" s="761"/>
      <c r="V33" s="762"/>
      <c r="W33" s="762"/>
      <c r="X33" s="762"/>
      <c r="Y33" s="762"/>
      <c r="Z33" s="762"/>
      <c r="AA33" s="762"/>
      <c r="AB33" s="762"/>
      <c r="AC33" s="762"/>
      <c r="AD33" s="762"/>
      <c r="AE33" s="762"/>
      <c r="AF33" s="762"/>
      <c r="AG33" s="762"/>
      <c r="AH33" s="763"/>
    </row>
    <row r="34" spans="2:34" ht="23.1" customHeight="1">
      <c r="B34" s="80"/>
      <c r="C34" s="975">
        <v>19</v>
      </c>
      <c r="D34" s="584"/>
      <c r="E34" s="976"/>
      <c r="F34" s="976"/>
      <c r="G34" s="977"/>
      <c r="H34" s="977"/>
      <c r="I34" s="977"/>
      <c r="J34" s="977"/>
      <c r="K34" s="977"/>
      <c r="L34" s="977"/>
      <c r="M34" s="977"/>
      <c r="N34" s="977"/>
      <c r="O34" s="977"/>
      <c r="P34" s="977"/>
      <c r="Q34" s="977"/>
      <c r="R34" s="977"/>
      <c r="S34" s="72"/>
      <c r="U34" s="761"/>
      <c r="V34" s="762"/>
      <c r="W34" s="762"/>
      <c r="X34" s="762"/>
      <c r="Y34" s="762"/>
      <c r="Z34" s="762"/>
      <c r="AA34" s="762"/>
      <c r="AB34" s="762"/>
      <c r="AC34" s="762"/>
      <c r="AD34" s="762"/>
      <c r="AE34" s="762"/>
      <c r="AF34" s="762"/>
      <c r="AG34" s="762"/>
      <c r="AH34" s="763"/>
    </row>
    <row r="35" spans="2:34" ht="23.1" customHeight="1">
      <c r="B35" s="80"/>
      <c r="C35" s="975">
        <v>20</v>
      </c>
      <c r="D35" s="584"/>
      <c r="E35" s="976"/>
      <c r="F35" s="976"/>
      <c r="G35" s="977"/>
      <c r="H35" s="977"/>
      <c r="I35" s="977"/>
      <c r="J35" s="977"/>
      <c r="K35" s="977"/>
      <c r="L35" s="977"/>
      <c r="M35" s="977"/>
      <c r="N35" s="977"/>
      <c r="O35" s="977"/>
      <c r="P35" s="977"/>
      <c r="Q35" s="977"/>
      <c r="R35" s="977"/>
      <c r="S35" s="72"/>
      <c r="U35" s="761"/>
      <c r="V35" s="762"/>
      <c r="W35" s="762"/>
      <c r="X35" s="762"/>
      <c r="Y35" s="762"/>
      <c r="Z35" s="762"/>
      <c r="AA35" s="762"/>
      <c r="AB35" s="762"/>
      <c r="AC35" s="762"/>
      <c r="AD35" s="762"/>
      <c r="AE35" s="762"/>
      <c r="AF35" s="762"/>
      <c r="AG35" s="762"/>
      <c r="AH35" s="763"/>
    </row>
    <row r="36" spans="2:34" ht="23.1" customHeight="1">
      <c r="B36" s="80"/>
      <c r="C36" s="975">
        <v>21</v>
      </c>
      <c r="D36" s="584"/>
      <c r="E36" s="976"/>
      <c r="F36" s="976"/>
      <c r="G36" s="977"/>
      <c r="H36" s="977"/>
      <c r="I36" s="977"/>
      <c r="J36" s="977"/>
      <c r="K36" s="977"/>
      <c r="L36" s="977"/>
      <c r="M36" s="977"/>
      <c r="N36" s="977"/>
      <c r="O36" s="977"/>
      <c r="P36" s="977"/>
      <c r="Q36" s="977"/>
      <c r="R36" s="977"/>
      <c r="S36" s="72"/>
      <c r="U36" s="761"/>
      <c r="V36" s="762"/>
      <c r="W36" s="762"/>
      <c r="X36" s="762"/>
      <c r="Y36" s="762"/>
      <c r="Z36" s="762"/>
      <c r="AA36" s="762"/>
      <c r="AB36" s="762"/>
      <c r="AC36" s="762"/>
      <c r="AD36" s="762"/>
      <c r="AE36" s="762"/>
      <c r="AF36" s="762"/>
      <c r="AG36" s="762"/>
      <c r="AH36" s="763"/>
    </row>
    <row r="37" spans="2:34" ht="23.1" customHeight="1">
      <c r="B37" s="80"/>
      <c r="C37" s="975">
        <v>22</v>
      </c>
      <c r="D37" s="584"/>
      <c r="E37" s="976"/>
      <c r="F37" s="976"/>
      <c r="G37" s="977"/>
      <c r="H37" s="977"/>
      <c r="I37" s="977"/>
      <c r="J37" s="977"/>
      <c r="K37" s="977"/>
      <c r="L37" s="977"/>
      <c r="M37" s="977"/>
      <c r="N37" s="977"/>
      <c r="O37" s="977"/>
      <c r="P37" s="977"/>
      <c r="Q37" s="977"/>
      <c r="R37" s="977"/>
      <c r="S37" s="72"/>
      <c r="U37" s="761"/>
      <c r="V37" s="762"/>
      <c r="W37" s="762"/>
      <c r="X37" s="762"/>
      <c r="Y37" s="762"/>
      <c r="Z37" s="762"/>
      <c r="AA37" s="762"/>
      <c r="AB37" s="762"/>
      <c r="AC37" s="762"/>
      <c r="AD37" s="762"/>
      <c r="AE37" s="762"/>
      <c r="AF37" s="762"/>
      <c r="AG37" s="762"/>
      <c r="AH37" s="763"/>
    </row>
    <row r="38" spans="2:34" ht="23.1" customHeight="1">
      <c r="B38" s="80"/>
      <c r="C38" s="975">
        <v>23</v>
      </c>
      <c r="D38" s="584"/>
      <c r="E38" s="976"/>
      <c r="F38" s="976"/>
      <c r="G38" s="977"/>
      <c r="H38" s="977"/>
      <c r="I38" s="977"/>
      <c r="J38" s="977"/>
      <c r="K38" s="977"/>
      <c r="L38" s="977"/>
      <c r="M38" s="977"/>
      <c r="N38" s="977"/>
      <c r="O38" s="977"/>
      <c r="P38" s="977"/>
      <c r="Q38" s="977"/>
      <c r="R38" s="977"/>
      <c r="S38" s="72"/>
      <c r="U38" s="761"/>
      <c r="V38" s="762"/>
      <c r="W38" s="762"/>
      <c r="X38" s="762"/>
      <c r="Y38" s="762"/>
      <c r="Z38" s="762"/>
      <c r="AA38" s="762"/>
      <c r="AB38" s="762"/>
      <c r="AC38" s="762"/>
      <c r="AD38" s="762"/>
      <c r="AE38" s="762"/>
      <c r="AF38" s="762"/>
      <c r="AG38" s="762"/>
      <c r="AH38" s="763"/>
    </row>
    <row r="39" spans="2:34" ht="23.1" customHeight="1">
      <c r="B39" s="80"/>
      <c r="C39" s="975">
        <v>24</v>
      </c>
      <c r="D39" s="584"/>
      <c r="E39" s="976"/>
      <c r="F39" s="976"/>
      <c r="G39" s="977"/>
      <c r="H39" s="977"/>
      <c r="I39" s="977"/>
      <c r="J39" s="977"/>
      <c r="K39" s="977"/>
      <c r="L39" s="977"/>
      <c r="M39" s="977"/>
      <c r="N39" s="977"/>
      <c r="O39" s="977"/>
      <c r="P39" s="977"/>
      <c r="Q39" s="977"/>
      <c r="R39" s="977"/>
      <c r="S39" s="72"/>
      <c r="U39" s="761"/>
      <c r="V39" s="762"/>
      <c r="W39" s="762"/>
      <c r="X39" s="762"/>
      <c r="Y39" s="762"/>
      <c r="Z39" s="762"/>
      <c r="AA39" s="762"/>
      <c r="AB39" s="762"/>
      <c r="AC39" s="762"/>
      <c r="AD39" s="762"/>
      <c r="AE39" s="762"/>
      <c r="AF39" s="762"/>
      <c r="AG39" s="762"/>
      <c r="AH39" s="763"/>
    </row>
    <row r="40" spans="2:34" ht="23.1" customHeight="1">
      <c r="B40" s="80"/>
      <c r="C40" s="975">
        <v>25</v>
      </c>
      <c r="D40" s="584"/>
      <c r="E40" s="976"/>
      <c r="F40" s="976"/>
      <c r="G40" s="977"/>
      <c r="H40" s="977"/>
      <c r="I40" s="977"/>
      <c r="J40" s="977"/>
      <c r="K40" s="977"/>
      <c r="L40" s="977"/>
      <c r="M40" s="977"/>
      <c r="N40" s="977"/>
      <c r="O40" s="977"/>
      <c r="P40" s="977"/>
      <c r="Q40" s="977"/>
      <c r="R40" s="977"/>
      <c r="S40" s="72"/>
      <c r="U40" s="761"/>
      <c r="V40" s="762"/>
      <c r="W40" s="762"/>
      <c r="X40" s="762"/>
      <c r="Y40" s="762"/>
      <c r="Z40" s="762"/>
      <c r="AA40" s="762"/>
      <c r="AB40" s="762"/>
      <c r="AC40" s="762"/>
      <c r="AD40" s="762"/>
      <c r="AE40" s="762"/>
      <c r="AF40" s="762"/>
      <c r="AG40" s="762"/>
      <c r="AH40" s="763"/>
    </row>
    <row r="41" spans="2:34" ht="23.1" customHeight="1">
      <c r="B41" s="80"/>
      <c r="C41" s="975">
        <v>26</v>
      </c>
      <c r="D41" s="584"/>
      <c r="E41" s="976"/>
      <c r="F41" s="976"/>
      <c r="G41" s="977"/>
      <c r="H41" s="977"/>
      <c r="I41" s="977"/>
      <c r="J41" s="977"/>
      <c r="K41" s="977"/>
      <c r="L41" s="977"/>
      <c r="M41" s="977"/>
      <c r="N41" s="977"/>
      <c r="O41" s="977"/>
      <c r="P41" s="977"/>
      <c r="Q41" s="977"/>
      <c r="R41" s="977"/>
      <c r="S41" s="72"/>
      <c r="U41" s="761"/>
      <c r="V41" s="762"/>
      <c r="W41" s="762"/>
      <c r="X41" s="762"/>
      <c r="Y41" s="762"/>
      <c r="Z41" s="762"/>
      <c r="AA41" s="762"/>
      <c r="AB41" s="762"/>
      <c r="AC41" s="762"/>
      <c r="AD41" s="762"/>
      <c r="AE41" s="762"/>
      <c r="AF41" s="762"/>
      <c r="AG41" s="762"/>
      <c r="AH41" s="763"/>
    </row>
    <row r="42" spans="2:34" ht="23.1" customHeight="1">
      <c r="B42" s="80"/>
      <c r="C42" s="975">
        <v>27</v>
      </c>
      <c r="D42" s="584"/>
      <c r="E42" s="976"/>
      <c r="F42" s="976"/>
      <c r="G42" s="977"/>
      <c r="H42" s="977"/>
      <c r="I42" s="977"/>
      <c r="J42" s="977"/>
      <c r="K42" s="977"/>
      <c r="L42" s="977"/>
      <c r="M42" s="977"/>
      <c r="N42" s="977"/>
      <c r="O42" s="977"/>
      <c r="P42" s="977"/>
      <c r="Q42" s="977"/>
      <c r="R42" s="977"/>
      <c r="S42" s="72"/>
      <c r="U42" s="761"/>
      <c r="V42" s="762"/>
      <c r="W42" s="762"/>
      <c r="X42" s="762"/>
      <c r="Y42" s="762"/>
      <c r="Z42" s="762"/>
      <c r="AA42" s="762"/>
      <c r="AB42" s="762"/>
      <c r="AC42" s="762"/>
      <c r="AD42" s="762"/>
      <c r="AE42" s="762"/>
      <c r="AF42" s="762"/>
      <c r="AG42" s="762"/>
      <c r="AH42" s="763"/>
    </row>
    <row r="43" spans="2:34" ht="23.1" customHeight="1">
      <c r="B43" s="80"/>
      <c r="C43" s="975">
        <v>28</v>
      </c>
      <c r="D43" s="584"/>
      <c r="E43" s="976"/>
      <c r="F43" s="976"/>
      <c r="G43" s="977"/>
      <c r="H43" s="977"/>
      <c r="I43" s="977"/>
      <c r="J43" s="977"/>
      <c r="K43" s="977"/>
      <c r="L43" s="977"/>
      <c r="M43" s="977"/>
      <c r="N43" s="977"/>
      <c r="O43" s="977"/>
      <c r="P43" s="977"/>
      <c r="Q43" s="977"/>
      <c r="R43" s="977"/>
      <c r="S43" s="72"/>
      <c r="U43" s="761"/>
      <c r="V43" s="762"/>
      <c r="W43" s="762"/>
      <c r="X43" s="762"/>
      <c r="Y43" s="762"/>
      <c r="Z43" s="762"/>
      <c r="AA43" s="762"/>
      <c r="AB43" s="762"/>
      <c r="AC43" s="762"/>
      <c r="AD43" s="762"/>
      <c r="AE43" s="762"/>
      <c r="AF43" s="762"/>
      <c r="AG43" s="762"/>
      <c r="AH43" s="763"/>
    </row>
    <row r="44" spans="2:34" ht="23.1" customHeight="1">
      <c r="B44" s="80"/>
      <c r="C44" s="975">
        <v>29</v>
      </c>
      <c r="D44" s="584"/>
      <c r="E44" s="976"/>
      <c r="F44" s="976"/>
      <c r="G44" s="977"/>
      <c r="H44" s="977"/>
      <c r="I44" s="977"/>
      <c r="J44" s="977"/>
      <c r="K44" s="977"/>
      <c r="L44" s="977"/>
      <c r="M44" s="977"/>
      <c r="N44" s="977"/>
      <c r="O44" s="977"/>
      <c r="P44" s="977"/>
      <c r="Q44" s="977"/>
      <c r="R44" s="977"/>
      <c r="S44" s="72"/>
      <c r="U44" s="761"/>
      <c r="V44" s="762"/>
      <c r="W44" s="762"/>
      <c r="X44" s="762"/>
      <c r="Y44" s="762"/>
      <c r="Z44" s="762"/>
      <c r="AA44" s="762"/>
      <c r="AB44" s="762"/>
      <c r="AC44" s="762"/>
      <c r="AD44" s="762"/>
      <c r="AE44" s="762"/>
      <c r="AF44" s="762"/>
      <c r="AG44" s="762"/>
      <c r="AH44" s="763"/>
    </row>
    <row r="45" spans="2:34" ht="23.1" customHeight="1">
      <c r="B45" s="80"/>
      <c r="C45" s="975">
        <v>30</v>
      </c>
      <c r="D45" s="584"/>
      <c r="E45" s="976"/>
      <c r="F45" s="976"/>
      <c r="G45" s="977"/>
      <c r="H45" s="977"/>
      <c r="I45" s="977"/>
      <c r="J45" s="977"/>
      <c r="K45" s="977"/>
      <c r="L45" s="977"/>
      <c r="M45" s="977"/>
      <c r="N45" s="977"/>
      <c r="O45" s="977"/>
      <c r="P45" s="977"/>
      <c r="Q45" s="977"/>
      <c r="R45" s="977"/>
      <c r="S45" s="72"/>
      <c r="U45" s="761"/>
      <c r="V45" s="762"/>
      <c r="W45" s="762"/>
      <c r="X45" s="762"/>
      <c r="Y45" s="762"/>
      <c r="Z45" s="762"/>
      <c r="AA45" s="762"/>
      <c r="AB45" s="762"/>
      <c r="AC45" s="762"/>
      <c r="AD45" s="762"/>
      <c r="AE45" s="762"/>
      <c r="AF45" s="762"/>
      <c r="AG45" s="762"/>
      <c r="AH45" s="763"/>
    </row>
    <row r="46" spans="2:34" s="73" customFormat="1" ht="23.1" customHeight="1" thickBot="1">
      <c r="B46" s="80"/>
      <c r="C46" s="1334" t="s">
        <v>772</v>
      </c>
      <c r="D46" s="1335"/>
      <c r="E46" s="87">
        <f>MIN(E16:E45)</f>
        <v>2025</v>
      </c>
      <c r="F46" s="87">
        <f>MAX(F16:F45)</f>
        <v>2028</v>
      </c>
      <c r="G46" s="88">
        <f t="shared" ref="G46:R46" si="0">SUM(G16:G45)</f>
        <v>7337000</v>
      </c>
      <c r="H46" s="88">
        <f t="shared" si="0"/>
        <v>0</v>
      </c>
      <c r="I46" s="88">
        <f t="shared" si="0"/>
        <v>4612000</v>
      </c>
      <c r="J46" s="88">
        <f t="shared" si="0"/>
        <v>925000</v>
      </c>
      <c r="K46" s="88">
        <f t="shared" si="0"/>
        <v>500000</v>
      </c>
      <c r="L46" s="88">
        <f t="shared" si="0"/>
        <v>800000</v>
      </c>
      <c r="M46" s="88">
        <f t="shared" si="0"/>
        <v>500000</v>
      </c>
      <c r="N46" s="88">
        <f t="shared" si="0"/>
        <v>0</v>
      </c>
      <c r="O46" s="88">
        <f t="shared" si="0"/>
        <v>0</v>
      </c>
      <c r="P46" s="88">
        <f t="shared" si="0"/>
        <v>0</v>
      </c>
      <c r="Q46" s="88">
        <f t="shared" si="0"/>
        <v>0</v>
      </c>
      <c r="R46" s="88">
        <f t="shared" si="0"/>
        <v>0</v>
      </c>
      <c r="S46" s="89"/>
      <c r="U46" s="761"/>
      <c r="V46" s="762"/>
      <c r="W46" s="762"/>
      <c r="X46" s="762"/>
      <c r="Y46" s="762"/>
      <c r="Z46" s="762"/>
      <c r="AA46" s="762"/>
      <c r="AB46" s="762"/>
      <c r="AC46" s="762"/>
      <c r="AD46" s="762"/>
      <c r="AE46" s="762"/>
      <c r="AF46" s="762"/>
      <c r="AG46" s="762"/>
      <c r="AH46" s="763"/>
    </row>
    <row r="47" spans="2:34" s="73" customFormat="1" ht="23.1" customHeight="1">
      <c r="B47" s="80"/>
      <c r="C47" s="354"/>
      <c r="D47" s="354"/>
      <c r="E47" s="355"/>
      <c r="F47" s="355"/>
      <c r="G47" s="150"/>
      <c r="H47" s="150"/>
      <c r="I47" s="150"/>
      <c r="J47" s="150"/>
      <c r="K47" s="150"/>
      <c r="L47" s="150"/>
      <c r="M47" s="150"/>
      <c r="N47" s="150"/>
      <c r="O47" s="150"/>
      <c r="P47" s="150"/>
      <c r="Q47" s="150"/>
      <c r="R47" s="150"/>
      <c r="S47" s="89"/>
      <c r="U47" s="761"/>
      <c r="V47" s="762"/>
      <c r="W47" s="762"/>
      <c r="X47" s="762"/>
      <c r="Y47" s="762"/>
      <c r="Z47" s="762"/>
      <c r="AA47" s="762"/>
      <c r="AB47" s="762"/>
      <c r="AC47" s="762"/>
      <c r="AD47" s="762"/>
      <c r="AE47" s="762"/>
      <c r="AF47" s="762"/>
      <c r="AG47" s="762"/>
      <c r="AH47" s="763"/>
    </row>
    <row r="48" spans="2:34" s="73" customFormat="1" ht="23.1" customHeight="1">
      <c r="B48" s="80"/>
      <c r="C48" s="308" t="s">
        <v>738</v>
      </c>
      <c r="D48" s="354"/>
      <c r="E48" s="355"/>
      <c r="F48" s="355"/>
      <c r="G48" s="150"/>
      <c r="H48" s="150"/>
      <c r="I48" s="150"/>
      <c r="J48" s="150"/>
      <c r="K48" s="150"/>
      <c r="L48" s="150"/>
      <c r="M48" s="150"/>
      <c r="N48" s="150"/>
      <c r="O48" s="150"/>
      <c r="P48" s="150"/>
      <c r="Q48" s="150"/>
      <c r="R48" s="150"/>
      <c r="S48" s="89"/>
      <c r="U48" s="761"/>
      <c r="V48" s="762"/>
      <c r="W48" s="762"/>
      <c r="X48" s="762"/>
      <c r="Y48" s="762"/>
      <c r="Z48" s="762"/>
      <c r="AA48" s="762"/>
      <c r="AB48" s="762"/>
      <c r="AC48" s="762"/>
      <c r="AD48" s="762"/>
      <c r="AE48" s="762"/>
      <c r="AF48" s="762"/>
      <c r="AG48" s="762"/>
      <c r="AH48" s="763"/>
    </row>
    <row r="49" spans="2:34" s="73" customFormat="1" ht="23.1" customHeight="1">
      <c r="B49" s="80"/>
      <c r="C49" s="978" t="s">
        <v>773</v>
      </c>
      <c r="D49" s="354"/>
      <c r="E49" s="355"/>
      <c r="F49" s="979">
        <f>ejercicio</f>
        <v>2025</v>
      </c>
      <c r="G49" s="494" t="s">
        <v>774</v>
      </c>
      <c r="H49" s="150"/>
      <c r="I49" s="150"/>
      <c r="J49" s="150"/>
      <c r="K49" s="150"/>
      <c r="L49" s="150"/>
      <c r="M49" s="150"/>
      <c r="N49" s="150"/>
      <c r="O49" s="150"/>
      <c r="P49" s="150"/>
      <c r="Q49" s="150"/>
      <c r="R49" s="150"/>
      <c r="S49" s="89"/>
      <c r="U49" s="761"/>
      <c r="V49" s="762"/>
      <c r="W49" s="762"/>
      <c r="X49" s="762"/>
      <c r="Y49" s="762"/>
      <c r="Z49" s="762"/>
      <c r="AA49" s="762"/>
      <c r="AB49" s="762"/>
      <c r="AC49" s="762"/>
      <c r="AD49" s="762"/>
      <c r="AE49" s="762"/>
      <c r="AF49" s="762"/>
      <c r="AG49" s="762"/>
      <c r="AH49" s="763"/>
    </row>
    <row r="50" spans="2:34" s="73" customFormat="1" ht="23.1" customHeight="1">
      <c r="B50" s="80"/>
      <c r="C50" s="597" t="s">
        <v>775</v>
      </c>
      <c r="D50" s="354"/>
      <c r="E50" s="355"/>
      <c r="F50" s="355"/>
      <c r="G50" s="150"/>
      <c r="H50" s="150"/>
      <c r="I50" s="150"/>
      <c r="J50" s="150"/>
      <c r="K50" s="150"/>
      <c r="L50" s="150"/>
      <c r="M50" s="150"/>
      <c r="N50" s="150"/>
      <c r="O50" s="150"/>
      <c r="P50" s="150"/>
      <c r="Q50" s="150"/>
      <c r="R50" s="150"/>
      <c r="S50" s="89"/>
      <c r="U50" s="761"/>
      <c r="V50" s="762"/>
      <c r="W50" s="762"/>
      <c r="X50" s="762"/>
      <c r="Y50" s="762"/>
      <c r="Z50" s="762"/>
      <c r="AA50" s="762"/>
      <c r="AB50" s="762"/>
      <c r="AC50" s="762"/>
      <c r="AD50" s="762"/>
      <c r="AE50" s="762"/>
      <c r="AF50" s="762"/>
      <c r="AG50" s="762"/>
      <c r="AH50" s="763"/>
    </row>
    <row r="51" spans="2:34" s="73" customFormat="1" ht="23.1" customHeight="1">
      <c r="B51" s="80"/>
      <c r="C51" s="978" t="s">
        <v>776</v>
      </c>
      <c r="D51" s="354"/>
      <c r="E51" s="355"/>
      <c r="F51" s="355"/>
      <c r="G51" s="979">
        <f>ejercicio</f>
        <v>2025</v>
      </c>
      <c r="H51" s="494" t="s">
        <v>777</v>
      </c>
      <c r="I51" s="150"/>
      <c r="J51" s="150"/>
      <c r="K51" s="150"/>
      <c r="L51" s="150"/>
      <c r="M51" s="150"/>
      <c r="N51" s="150"/>
      <c r="O51" s="150"/>
      <c r="P51" s="150"/>
      <c r="Q51" s="150"/>
      <c r="R51" s="150"/>
      <c r="S51" s="89"/>
      <c r="U51" s="761"/>
      <c r="V51" s="762"/>
      <c r="W51" s="762"/>
      <c r="X51" s="762"/>
      <c r="Y51" s="762"/>
      <c r="Z51" s="762"/>
      <c r="AA51" s="762"/>
      <c r="AB51" s="762"/>
      <c r="AC51" s="762"/>
      <c r="AD51" s="762"/>
      <c r="AE51" s="762"/>
      <c r="AF51" s="762"/>
      <c r="AG51" s="762"/>
      <c r="AH51" s="763"/>
    </row>
    <row r="52" spans="2:34" s="73" customFormat="1" ht="23.1" customHeight="1">
      <c r="B52" s="80"/>
      <c r="C52" s="978" t="s">
        <v>778</v>
      </c>
      <c r="D52" s="354"/>
      <c r="E52" s="355"/>
      <c r="F52" s="355"/>
      <c r="G52" s="150"/>
      <c r="H52" s="150"/>
      <c r="I52" s="150"/>
      <c r="J52" s="150"/>
      <c r="K52" s="150"/>
      <c r="L52" s="150"/>
      <c r="M52" s="150"/>
      <c r="N52" s="150"/>
      <c r="O52" s="150"/>
      <c r="P52" s="150"/>
      <c r="Q52" s="150"/>
      <c r="R52" s="150"/>
      <c r="S52" s="89"/>
      <c r="U52" s="761"/>
      <c r="V52" s="762"/>
      <c r="W52" s="762"/>
      <c r="X52" s="762"/>
      <c r="Y52" s="762"/>
      <c r="Z52" s="762"/>
      <c r="AA52" s="762"/>
      <c r="AB52" s="762"/>
      <c r="AC52" s="762"/>
      <c r="AD52" s="762"/>
      <c r="AE52" s="762"/>
      <c r="AF52" s="762"/>
      <c r="AG52" s="762"/>
      <c r="AH52" s="763"/>
    </row>
    <row r="53" spans="2:34" s="73" customFormat="1" ht="23.1" customHeight="1">
      <c r="B53" s="80"/>
      <c r="C53" s="978" t="s">
        <v>779</v>
      </c>
      <c r="D53" s="354"/>
      <c r="E53" s="355"/>
      <c r="F53" s="355"/>
      <c r="G53" s="979">
        <f>ejercicio</f>
        <v>2025</v>
      </c>
      <c r="H53" s="494" t="s">
        <v>780</v>
      </c>
      <c r="I53" s="150"/>
      <c r="J53" s="150"/>
      <c r="K53" s="150"/>
      <c r="L53" s="150"/>
      <c r="M53" s="150"/>
      <c r="N53" s="150"/>
      <c r="O53" s="150"/>
      <c r="P53" s="150"/>
      <c r="Q53" s="150"/>
      <c r="R53" s="150"/>
      <c r="S53" s="89"/>
      <c r="U53" s="761"/>
      <c r="V53" s="762"/>
      <c r="W53" s="762"/>
      <c r="X53" s="762"/>
      <c r="Y53" s="762"/>
      <c r="Z53" s="762"/>
      <c r="AA53" s="762"/>
      <c r="AB53" s="762"/>
      <c r="AC53" s="762"/>
      <c r="AD53" s="762"/>
      <c r="AE53" s="762"/>
      <c r="AF53" s="762"/>
      <c r="AG53" s="762"/>
      <c r="AH53" s="763"/>
    </row>
    <row r="54" spans="2:34" s="73" customFormat="1" ht="23.1" customHeight="1">
      <c r="B54" s="80"/>
      <c r="C54" s="354"/>
      <c r="D54" s="354"/>
      <c r="E54" s="355"/>
      <c r="F54" s="355"/>
      <c r="G54" s="150"/>
      <c r="H54" s="150"/>
      <c r="I54" s="150"/>
      <c r="J54" s="150"/>
      <c r="K54" s="150"/>
      <c r="L54" s="150"/>
      <c r="M54" s="150"/>
      <c r="N54" s="150"/>
      <c r="O54" s="150"/>
      <c r="P54" s="150"/>
      <c r="Q54" s="150"/>
      <c r="R54" s="150"/>
      <c r="S54" s="89"/>
      <c r="U54" s="761"/>
      <c r="V54" s="762"/>
      <c r="W54" s="762"/>
      <c r="X54" s="762"/>
      <c r="Y54" s="762"/>
      <c r="Z54" s="762"/>
      <c r="AA54" s="762"/>
      <c r="AB54" s="762"/>
      <c r="AC54" s="762"/>
      <c r="AD54" s="762"/>
      <c r="AE54" s="762"/>
      <c r="AF54" s="762"/>
      <c r="AG54" s="762"/>
      <c r="AH54" s="763"/>
    </row>
    <row r="55" spans="2:34" ht="23.1" customHeight="1" thickBot="1">
      <c r="B55" s="83"/>
      <c r="C55" s="1228"/>
      <c r="D55" s="1228"/>
      <c r="E55" s="1228"/>
      <c r="F55" s="1228"/>
      <c r="G55" s="33"/>
      <c r="H55" s="33"/>
      <c r="I55" s="33"/>
      <c r="J55" s="33"/>
      <c r="K55" s="33"/>
      <c r="L55" s="33"/>
      <c r="M55" s="33"/>
      <c r="N55" s="33"/>
      <c r="O55" s="33"/>
      <c r="P55" s="33"/>
      <c r="Q55" s="33"/>
      <c r="R55" s="84"/>
      <c r="S55" s="85"/>
      <c r="U55" s="764"/>
      <c r="V55" s="765"/>
      <c r="W55" s="765"/>
      <c r="X55" s="765"/>
      <c r="Y55" s="765"/>
      <c r="Z55" s="765"/>
      <c r="AA55" s="765"/>
      <c r="AB55" s="765"/>
      <c r="AC55" s="765"/>
      <c r="AD55" s="765"/>
      <c r="AE55" s="765"/>
      <c r="AF55" s="765"/>
      <c r="AG55" s="765"/>
      <c r="AH55" s="766"/>
    </row>
    <row r="56" spans="2:34" ht="23.1" customHeight="1">
      <c r="T56" s="65" t="s">
        <v>248</v>
      </c>
    </row>
    <row r="57" spans="2:34" ht="12.75">
      <c r="C57" s="86" t="s">
        <v>98</v>
      </c>
      <c r="R57" s="63" t="s">
        <v>781</v>
      </c>
    </row>
    <row r="58" spans="2:34" ht="12.75">
      <c r="C58" s="86" t="s">
        <v>100</v>
      </c>
    </row>
    <row r="59" spans="2:34" ht="12.75">
      <c r="C59" s="86" t="s">
        <v>101</v>
      </c>
    </row>
    <row r="60" spans="2:34" ht="12.75">
      <c r="C60" s="86" t="s">
        <v>102</v>
      </c>
    </row>
    <row r="61" spans="2:34" ht="12.75">
      <c r="C61" s="86" t="s">
        <v>103</v>
      </c>
    </row>
  </sheetData>
  <sheetProtection sheet="1" insertRows="0"/>
  <mergeCells count="12">
    <mergeCell ref="N13:Q14"/>
    <mergeCell ref="R13:R14"/>
    <mergeCell ref="R6:R7"/>
    <mergeCell ref="D9:R9"/>
    <mergeCell ref="C55:F55"/>
    <mergeCell ref="C46:D46"/>
    <mergeCell ref="F14:F15"/>
    <mergeCell ref="E13:E15"/>
    <mergeCell ref="D13:D15"/>
    <mergeCell ref="C13:C15"/>
    <mergeCell ref="G13:G15"/>
    <mergeCell ref="I13:M14"/>
  </mergeCells>
  <phoneticPr fontId="5" type="noConversion"/>
  <dataValidations count="3">
    <dataValidation type="list" allowBlank="1" showInputMessage="1" showErrorMessage="1" sqref="F16:F45" xr:uid="{D09D89D3-096F-41DF-9E9D-99B5B41F287D}">
      <formula1>$AJ$15:$AJ$20</formula1>
    </dataValidation>
    <dataValidation type="custom" allowBlank="1" showInputMessage="1" showErrorMessage="1" sqref="M16:M45 R16:R45" xr:uid="{464AFBA9-B256-4D8A-9A71-83C264DC222F}">
      <formula1>$F16=M$15</formula1>
    </dataValidation>
    <dataValidation type="custom" allowBlank="1" showInputMessage="1" showErrorMessage="1" errorTitle="Dato erróneo" error="No es posible introducir datos de inversiones en un año posterior a la fecha de finalización de la inversión" sqref="I16:L45 N16:Q45" xr:uid="{1ED01E45-3231-4CAD-89AF-60295DACE9AD}">
      <formula1>$F16&gt;=I$15</formula1>
    </dataValidation>
  </dataValidations>
  <printOptions horizontalCentered="1" verticalCentered="1"/>
  <pageMargins left="0.36000000000000004" right="0.36000000000000004" top="0.6100000000000001" bottom="0.6100000000000001" header="0.5" footer="0.5"/>
  <pageSetup paperSize="9" scale="40" orientation="landscape" horizontalDpi="4294967292" verticalDpi="4294967292" r:id="rId1"/>
  <drawing r:id="rId2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7736476-1917-40E5-8D2B-062B58FB100E}">
  <sheetPr codeName="Hoja12">
    <pageSetUpPr fitToPage="1"/>
  </sheetPr>
  <dimension ref="A2:AE53"/>
  <sheetViews>
    <sheetView topLeftCell="A9" zoomScaleNormal="100" zoomScalePageLayoutView="125" workbookViewId="0">
      <selection activeCell="F15" sqref="F15:F17"/>
    </sheetView>
  </sheetViews>
  <sheetFormatPr baseColWidth="10" defaultColWidth="10.6640625" defaultRowHeight="23.1" customHeight="1"/>
  <cols>
    <col min="1" max="1" width="4.109375" style="65" bestFit="1" customWidth="1"/>
    <col min="2" max="2" width="3.109375" style="65" customWidth="1"/>
    <col min="3" max="3" width="13.5546875" style="65" customWidth="1"/>
    <col min="4" max="4" width="23.109375" style="65" customWidth="1"/>
    <col min="5" max="14" width="13.44140625" style="66" customWidth="1"/>
    <col min="15" max="15" width="40.6640625" style="66" customWidth="1"/>
    <col min="16" max="16" width="3.33203125" style="65" customWidth="1"/>
    <col min="17" max="16384" width="10.6640625" style="65"/>
  </cols>
  <sheetData>
    <row r="2" spans="1:31" ht="23.1" customHeight="1">
      <c r="D2" s="391" t="str">
        <f>_GENERAL!D2</f>
        <v>Área de la Presidenta: Igualdad y Diversidad, Hacienda y Proyectos Estratégicos</v>
      </c>
    </row>
    <row r="3" spans="1:31" ht="23.1" customHeight="1">
      <c r="D3" s="391" t="str">
        <f>_GENERAL!D3</f>
        <v>Dirección Insular de Hacienda</v>
      </c>
    </row>
    <row r="4" spans="1:31" ht="23.1" customHeight="1" thickBot="1">
      <c r="A4" s="65" t="s">
        <v>195</v>
      </c>
    </row>
    <row r="5" spans="1:31" ht="9" customHeight="1">
      <c r="B5" s="67"/>
      <c r="C5" s="68"/>
      <c r="D5" s="68"/>
      <c r="E5" s="69"/>
      <c r="F5" s="69"/>
      <c r="G5" s="69"/>
      <c r="H5" s="69"/>
      <c r="I5" s="69"/>
      <c r="J5" s="69"/>
      <c r="K5" s="69"/>
      <c r="L5" s="69"/>
      <c r="M5" s="69"/>
      <c r="N5" s="69"/>
      <c r="O5" s="69"/>
      <c r="P5" s="70"/>
      <c r="R5" s="746"/>
      <c r="S5" s="747"/>
      <c r="T5" s="747"/>
      <c r="U5" s="747"/>
      <c r="V5" s="747"/>
      <c r="W5" s="747"/>
      <c r="X5" s="747"/>
      <c r="Y5" s="747"/>
      <c r="Z5" s="747"/>
      <c r="AA5" s="747"/>
      <c r="AB5" s="747"/>
      <c r="AC5" s="747"/>
      <c r="AD5" s="747"/>
      <c r="AE5" s="748"/>
    </row>
    <row r="6" spans="1:31" ht="30" customHeight="1">
      <c r="B6" s="71"/>
      <c r="C6" s="40" t="s">
        <v>2</v>
      </c>
      <c r="O6" s="1212">
        <f>ejercicio</f>
        <v>2025</v>
      </c>
      <c r="P6" s="72"/>
      <c r="R6" s="751"/>
      <c r="S6" s="752"/>
      <c r="T6" s="752"/>
      <c r="U6" s="752"/>
      <c r="V6" s="752"/>
      <c r="W6" s="752"/>
      <c r="X6" s="752"/>
      <c r="Y6" s="752"/>
      <c r="Z6" s="752"/>
      <c r="AA6" s="752"/>
      <c r="AB6" s="752"/>
      <c r="AC6" s="752"/>
      <c r="AD6" s="752"/>
      <c r="AE6" s="753"/>
    </row>
    <row r="7" spans="1:31" ht="30" customHeight="1">
      <c r="B7" s="71"/>
      <c r="C7" s="40" t="s">
        <v>3</v>
      </c>
      <c r="O7" s="1212"/>
      <c r="P7" s="72"/>
      <c r="R7" s="754"/>
      <c r="S7" s="755" t="s">
        <v>196</v>
      </c>
      <c r="T7" s="756"/>
      <c r="U7" s="756"/>
      <c r="V7" s="756"/>
      <c r="W7" s="756"/>
      <c r="X7" s="756"/>
      <c r="Y7" s="756"/>
      <c r="Z7" s="756"/>
      <c r="AA7" s="756"/>
      <c r="AB7" s="756"/>
      <c r="AC7" s="756"/>
      <c r="AD7" s="756"/>
      <c r="AE7" s="757"/>
    </row>
    <row r="8" spans="1:31" ht="30" customHeight="1">
      <c r="B8" s="71"/>
      <c r="C8" s="73"/>
      <c r="O8" s="74"/>
      <c r="P8" s="72"/>
      <c r="R8" s="754"/>
      <c r="S8" s="756"/>
      <c r="T8" s="756"/>
      <c r="U8" s="756"/>
      <c r="V8" s="756"/>
      <c r="W8" s="756"/>
      <c r="X8" s="756"/>
      <c r="Y8" s="756"/>
      <c r="Z8" s="756"/>
      <c r="AA8" s="756"/>
      <c r="AB8" s="756"/>
      <c r="AC8" s="756"/>
      <c r="AD8" s="756"/>
      <c r="AE8" s="757"/>
    </row>
    <row r="9" spans="1:31" s="39" customFormat="1" ht="30" customHeight="1">
      <c r="A9" s="877"/>
      <c r="B9" s="905"/>
      <c r="C9" s="21" t="s">
        <v>105</v>
      </c>
      <c r="D9" s="1229" t="str">
        <f>Entidad</f>
        <v>(MERCATENERIFE) Mercados Centrales de Abastecimiento de Tenerife, S.A.</v>
      </c>
      <c r="E9" s="1229"/>
      <c r="F9" s="1229"/>
      <c r="G9" s="1229"/>
      <c r="H9" s="1229"/>
      <c r="I9" s="1229"/>
      <c r="J9" s="1229"/>
      <c r="K9" s="1229"/>
      <c r="L9" s="1229"/>
      <c r="M9" s="1229"/>
      <c r="N9" s="1229"/>
      <c r="O9" s="1229"/>
      <c r="P9" s="904"/>
      <c r="Q9" s="877"/>
      <c r="R9" s="751"/>
      <c r="S9" s="752"/>
      <c r="T9" s="752"/>
      <c r="U9" s="752"/>
      <c r="V9" s="752"/>
      <c r="W9" s="752"/>
      <c r="X9" s="752"/>
      <c r="Y9" s="752"/>
      <c r="Z9" s="752"/>
      <c r="AA9" s="752"/>
      <c r="AB9" s="752"/>
      <c r="AC9" s="752"/>
      <c r="AD9" s="752"/>
      <c r="AE9" s="753"/>
    </row>
    <row r="10" spans="1:31" ht="6.95" customHeight="1">
      <c r="B10" s="71"/>
      <c r="P10" s="72"/>
      <c r="R10" s="751"/>
      <c r="S10" s="752"/>
      <c r="T10" s="752"/>
      <c r="U10" s="752"/>
      <c r="V10" s="752"/>
      <c r="W10" s="752"/>
      <c r="X10" s="752"/>
      <c r="Y10" s="752"/>
      <c r="Z10" s="752"/>
      <c r="AA10" s="752"/>
      <c r="AB10" s="752"/>
      <c r="AC10" s="752"/>
      <c r="AD10" s="752"/>
      <c r="AE10" s="753"/>
    </row>
    <row r="11" spans="1:31" s="79" customFormat="1" ht="30" customHeight="1">
      <c r="B11" s="75"/>
      <c r="C11" s="76" t="s">
        <v>782</v>
      </c>
      <c r="D11" s="76"/>
      <c r="E11" s="77"/>
      <c r="F11" s="77"/>
      <c r="G11" s="77"/>
      <c r="H11" s="77"/>
      <c r="I11" s="77"/>
      <c r="J11" s="77"/>
      <c r="K11" s="77"/>
      <c r="L11" s="77"/>
      <c r="M11" s="77"/>
      <c r="N11" s="77"/>
      <c r="O11" s="77"/>
      <c r="P11" s="78"/>
      <c r="R11" s="751"/>
      <c r="S11" s="752"/>
      <c r="T11" s="752"/>
      <c r="U11" s="752"/>
      <c r="V11" s="752"/>
      <c r="W11" s="752"/>
      <c r="X11" s="752"/>
      <c r="Y11" s="752"/>
      <c r="Z11" s="752"/>
      <c r="AA11" s="752"/>
      <c r="AB11" s="752"/>
      <c r="AC11" s="752"/>
      <c r="AD11" s="752"/>
      <c r="AE11" s="753"/>
    </row>
    <row r="12" spans="1:31" s="79" customFormat="1" ht="30" customHeight="1">
      <c r="B12" s="75"/>
      <c r="E12" s="64"/>
      <c r="F12" s="64"/>
      <c r="G12" s="64"/>
      <c r="H12" s="64"/>
      <c r="I12" s="64"/>
      <c r="J12" s="64"/>
      <c r="K12" s="64"/>
      <c r="L12" s="64"/>
      <c r="M12" s="64"/>
      <c r="N12" s="64"/>
      <c r="O12" s="64"/>
      <c r="P12" s="78"/>
      <c r="R12" s="751"/>
      <c r="S12" s="752"/>
      <c r="T12" s="752"/>
      <c r="U12" s="752"/>
      <c r="V12" s="752"/>
      <c r="W12" s="752"/>
      <c r="X12" s="752"/>
      <c r="Y12" s="752"/>
      <c r="Z12" s="752"/>
      <c r="AA12" s="752"/>
      <c r="AB12" s="752"/>
      <c r="AC12" s="752"/>
      <c r="AD12" s="752"/>
      <c r="AE12" s="753"/>
    </row>
    <row r="13" spans="1:31" s="82" customFormat="1" ht="23.1" customHeight="1">
      <c r="B13" s="80"/>
      <c r="C13" s="1349"/>
      <c r="D13" s="1350"/>
      <c r="E13" s="134" t="s">
        <v>783</v>
      </c>
      <c r="F13" s="1353" t="s">
        <v>784</v>
      </c>
      <c r="G13" s="1354"/>
      <c r="H13" s="1354"/>
      <c r="I13" s="1354"/>
      <c r="J13" s="1354"/>
      <c r="K13" s="1354"/>
      <c r="L13" s="1355"/>
      <c r="M13" s="134" t="s">
        <v>785</v>
      </c>
      <c r="N13" s="134"/>
      <c r="O13" s="1351" t="s">
        <v>786</v>
      </c>
      <c r="P13" s="81"/>
      <c r="R13" s="751"/>
      <c r="S13" s="752"/>
      <c r="T13" s="752"/>
      <c r="U13" s="752"/>
      <c r="V13" s="752"/>
      <c r="W13" s="752"/>
      <c r="X13" s="752"/>
      <c r="Y13" s="752"/>
      <c r="Z13" s="752"/>
      <c r="AA13" s="752"/>
      <c r="AB13" s="752"/>
      <c r="AC13" s="752"/>
      <c r="AD13" s="752"/>
      <c r="AE13" s="753"/>
    </row>
    <row r="14" spans="1:31" ht="48.95" customHeight="1">
      <c r="B14" s="71"/>
      <c r="C14" s="143" t="s">
        <v>787</v>
      </c>
      <c r="D14" s="141">
        <f>ejercicio-1</f>
        <v>2024</v>
      </c>
      <c r="E14" s="142">
        <f>ejercicio-1</f>
        <v>2024</v>
      </c>
      <c r="F14" s="138" t="s">
        <v>788</v>
      </c>
      <c r="G14" s="139" t="s">
        <v>789</v>
      </c>
      <c r="H14" s="139" t="s">
        <v>790</v>
      </c>
      <c r="I14" s="139" t="s">
        <v>791</v>
      </c>
      <c r="J14" s="139" t="s">
        <v>792</v>
      </c>
      <c r="K14" s="139" t="s">
        <v>793</v>
      </c>
      <c r="L14" s="140" t="s">
        <v>794</v>
      </c>
      <c r="M14" s="142">
        <f>ejercicio-1</f>
        <v>2024</v>
      </c>
      <c r="N14" s="614" t="s">
        <v>795</v>
      </c>
      <c r="O14" s="1352"/>
      <c r="P14" s="72"/>
      <c r="R14" s="751"/>
      <c r="S14" s="752"/>
      <c r="T14" s="752"/>
      <c r="U14" s="752"/>
      <c r="V14" s="752"/>
      <c r="W14" s="752"/>
      <c r="X14" s="752"/>
      <c r="Y14" s="752"/>
      <c r="Z14" s="752"/>
      <c r="AA14" s="752"/>
      <c r="AB14" s="752"/>
      <c r="AC14" s="752"/>
      <c r="AD14" s="752"/>
      <c r="AE14" s="753"/>
    </row>
    <row r="15" spans="1:31" s="17" customFormat="1" ht="23.1" customHeight="1">
      <c r="B15" s="80"/>
      <c r="C15" s="618" t="s">
        <v>796</v>
      </c>
      <c r="D15" s="930"/>
      <c r="E15" s="281">
        <v>96.8</v>
      </c>
      <c r="F15" s="648">
        <v>60000</v>
      </c>
      <c r="G15" s="980"/>
      <c r="H15" s="980"/>
      <c r="I15" s="980">
        <f>+'FC-3_CPyG'!G43</f>
        <v>-9900</v>
      </c>
      <c r="J15" s="980"/>
      <c r="K15" s="980"/>
      <c r="L15" s="981"/>
      <c r="M15" s="118">
        <f>SUM(E15:L15)</f>
        <v>50196.800000000003</v>
      </c>
      <c r="N15" s="615"/>
      <c r="O15" s="922"/>
      <c r="P15" s="81"/>
      <c r="R15" s="751"/>
      <c r="S15" s="752"/>
      <c r="T15" s="752"/>
      <c r="U15" s="752"/>
      <c r="V15" s="752"/>
      <c r="W15" s="752"/>
      <c r="X15" s="752"/>
      <c r="Y15" s="752"/>
      <c r="Z15" s="752"/>
      <c r="AA15" s="752"/>
      <c r="AB15" s="752"/>
      <c r="AC15" s="752"/>
      <c r="AD15" s="752"/>
      <c r="AE15" s="753"/>
    </row>
    <row r="16" spans="1:31" ht="23.1" customHeight="1">
      <c r="B16" s="80"/>
      <c r="C16" s="619" t="s">
        <v>797</v>
      </c>
      <c r="D16" s="933"/>
      <c r="E16" s="282">
        <v>2397869.96</v>
      </c>
      <c r="F16" s="571"/>
      <c r="G16" s="983"/>
      <c r="H16" s="983"/>
      <c r="I16" s="983"/>
      <c r="J16" s="983"/>
      <c r="K16" s="983"/>
      <c r="L16" s="984"/>
      <c r="M16" s="120">
        <f>SUM(E16:L16)</f>
        <v>2397869.96</v>
      </c>
      <c r="N16" s="616"/>
      <c r="O16" s="585"/>
      <c r="P16" s="72"/>
      <c r="R16" s="751"/>
      <c r="S16" s="752"/>
      <c r="T16" s="752"/>
      <c r="U16" s="752"/>
      <c r="V16" s="752"/>
      <c r="W16" s="752"/>
      <c r="X16" s="752"/>
      <c r="Y16" s="752"/>
      <c r="Z16" s="752"/>
      <c r="AA16" s="752"/>
      <c r="AB16" s="752"/>
      <c r="AC16" s="752"/>
      <c r="AD16" s="752"/>
      <c r="AE16" s="753"/>
    </row>
    <row r="17" spans="2:31" ht="23.1" customHeight="1">
      <c r="B17" s="80"/>
      <c r="C17" s="619" t="s">
        <v>798</v>
      </c>
      <c r="D17" s="933"/>
      <c r="E17" s="282">
        <f>17441583.37+317322.46+13401.21</f>
        <v>17772307.040000003</v>
      </c>
      <c r="F17" s="982">
        <v>1390000</v>
      </c>
      <c r="G17" s="983"/>
      <c r="H17" s="983"/>
      <c r="I17" s="983">
        <f>+'FC-3_CPyG'!G44</f>
        <v>-631258.16</v>
      </c>
      <c r="J17" s="983"/>
      <c r="K17" s="983"/>
      <c r="L17" s="984"/>
      <c r="M17" s="120">
        <f>SUM(E17:L17)</f>
        <v>18531048.880000003</v>
      </c>
      <c r="N17" s="616"/>
      <c r="O17" s="585"/>
      <c r="P17" s="72"/>
      <c r="R17" s="751"/>
      <c r="S17" s="752"/>
      <c r="T17" s="752"/>
      <c r="U17" s="752"/>
      <c r="V17" s="752"/>
      <c r="W17" s="752"/>
      <c r="X17" s="752"/>
      <c r="Y17" s="752"/>
      <c r="Z17" s="752"/>
      <c r="AA17" s="752"/>
      <c r="AB17" s="752"/>
      <c r="AC17" s="752"/>
      <c r="AD17" s="752"/>
      <c r="AE17" s="753"/>
    </row>
    <row r="18" spans="2:31" ht="23.1" customHeight="1">
      <c r="B18" s="80"/>
      <c r="C18" s="619" t="s">
        <v>799</v>
      </c>
      <c r="D18" s="933"/>
      <c r="E18" s="282">
        <v>124322.78</v>
      </c>
      <c r="F18" s="982"/>
      <c r="G18" s="983"/>
      <c r="H18" s="983"/>
      <c r="I18" s="983"/>
      <c r="J18" s="983"/>
      <c r="K18" s="983"/>
      <c r="L18" s="984"/>
      <c r="M18" s="120">
        <f>SUM(E18:L18)</f>
        <v>124322.78</v>
      </c>
      <c r="N18" s="616"/>
      <c r="O18" s="585"/>
      <c r="P18" s="72"/>
      <c r="R18" s="751"/>
      <c r="S18" s="752"/>
      <c r="T18" s="752"/>
      <c r="U18" s="752"/>
      <c r="V18" s="752"/>
      <c r="W18" s="752"/>
      <c r="X18" s="752"/>
      <c r="Y18" s="752"/>
      <c r="Z18" s="752"/>
      <c r="AA18" s="752"/>
      <c r="AB18" s="752"/>
      <c r="AC18" s="752"/>
      <c r="AD18" s="752"/>
      <c r="AE18" s="753"/>
    </row>
    <row r="19" spans="2:31" ht="23.1" customHeight="1">
      <c r="B19" s="80"/>
      <c r="C19" s="603" t="s">
        <v>800</v>
      </c>
      <c r="D19" s="985"/>
      <c r="E19" s="283"/>
      <c r="F19" s="652"/>
      <c r="G19" s="986"/>
      <c r="H19" s="986"/>
      <c r="I19" s="986"/>
      <c r="J19" s="986"/>
      <c r="K19" s="986"/>
      <c r="L19" s="987"/>
      <c r="M19" s="121">
        <f>SUM(E19:L19)</f>
        <v>0</v>
      </c>
      <c r="N19" s="617"/>
      <c r="O19" s="918"/>
      <c r="P19" s="72"/>
      <c r="R19" s="751"/>
      <c r="S19" s="752"/>
      <c r="T19" s="752"/>
      <c r="U19" s="752"/>
      <c r="V19" s="752"/>
      <c r="W19" s="752"/>
      <c r="X19" s="752"/>
      <c r="Y19" s="752"/>
      <c r="Z19" s="752"/>
      <c r="AA19" s="752"/>
      <c r="AB19" s="752"/>
      <c r="AC19" s="752"/>
      <c r="AD19" s="752"/>
      <c r="AE19" s="753"/>
    </row>
    <row r="20" spans="2:31" ht="23.1" customHeight="1" thickBot="1">
      <c r="B20" s="80"/>
      <c r="C20" s="111" t="s">
        <v>801</v>
      </c>
      <c r="D20" s="112"/>
      <c r="E20" s="119">
        <f>SUM(E15:E19)</f>
        <v>20294596.580000006</v>
      </c>
      <c r="F20" s="119">
        <f t="shared" ref="F20:N20" si="0">SUM(F15:F19)</f>
        <v>1450000</v>
      </c>
      <c r="G20" s="119">
        <f t="shared" si="0"/>
        <v>0</v>
      </c>
      <c r="H20" s="119">
        <f t="shared" si="0"/>
        <v>0</v>
      </c>
      <c r="I20" s="119">
        <f t="shared" si="0"/>
        <v>-641158.16</v>
      </c>
      <c r="J20" s="119">
        <f t="shared" si="0"/>
        <v>0</v>
      </c>
      <c r="K20" s="119">
        <f t="shared" si="0"/>
        <v>0</v>
      </c>
      <c r="L20" s="119">
        <f t="shared" si="0"/>
        <v>0</v>
      </c>
      <c r="M20" s="119">
        <f t="shared" si="0"/>
        <v>21103438.420000002</v>
      </c>
      <c r="N20" s="119">
        <f t="shared" si="0"/>
        <v>0</v>
      </c>
      <c r="O20" s="113"/>
      <c r="P20" s="72"/>
      <c r="R20" s="751"/>
      <c r="S20" s="752"/>
      <c r="T20" s="752"/>
      <c r="U20" s="752"/>
      <c r="V20" s="752"/>
      <c r="W20" s="752"/>
      <c r="X20" s="752"/>
      <c r="Y20" s="752"/>
      <c r="Z20" s="752"/>
      <c r="AA20" s="752"/>
      <c r="AB20" s="752"/>
      <c r="AC20" s="752"/>
      <c r="AD20" s="752"/>
      <c r="AE20" s="753"/>
    </row>
    <row r="21" spans="2:31" ht="8.1" customHeight="1">
      <c r="B21" s="80"/>
      <c r="C21" s="107"/>
      <c r="D21" s="107"/>
      <c r="E21" s="108"/>
      <c r="F21" s="108"/>
      <c r="G21" s="108"/>
      <c r="H21" s="108"/>
      <c r="I21" s="108"/>
      <c r="J21" s="108"/>
      <c r="K21" s="108"/>
      <c r="L21" s="108"/>
      <c r="M21" s="108"/>
      <c r="N21" s="108"/>
      <c r="O21" s="108"/>
      <c r="P21" s="72"/>
      <c r="R21" s="751"/>
      <c r="S21" s="752"/>
      <c r="T21" s="752"/>
      <c r="U21" s="752"/>
      <c r="V21" s="752"/>
      <c r="W21" s="752"/>
      <c r="X21" s="752"/>
      <c r="Y21" s="752"/>
      <c r="Z21" s="752"/>
      <c r="AA21" s="752"/>
      <c r="AB21" s="752"/>
      <c r="AC21" s="752"/>
      <c r="AD21" s="752"/>
      <c r="AE21" s="753"/>
    </row>
    <row r="22" spans="2:31" ht="23.1" customHeight="1" thickBot="1">
      <c r="B22" s="80"/>
      <c r="C22" s="869" t="s">
        <v>802</v>
      </c>
      <c r="D22" s="870"/>
      <c r="E22" s="988"/>
      <c r="F22" s="989"/>
      <c r="G22" s="990"/>
      <c r="H22" s="990"/>
      <c r="I22" s="990"/>
      <c r="J22" s="990"/>
      <c r="K22" s="990"/>
      <c r="L22" s="991"/>
      <c r="M22" s="119">
        <f>SUM(E22:L22)</f>
        <v>0</v>
      </c>
      <c r="N22" s="613"/>
      <c r="O22" s="992"/>
      <c r="P22" s="72"/>
      <c r="R22" s="751"/>
      <c r="S22" s="752"/>
      <c r="T22" s="752"/>
      <c r="U22" s="752"/>
      <c r="V22" s="752"/>
      <c r="W22" s="752"/>
      <c r="X22" s="752"/>
      <c r="Y22" s="752"/>
      <c r="Z22" s="752"/>
      <c r="AA22" s="752"/>
      <c r="AB22" s="752"/>
      <c r="AC22" s="752"/>
      <c r="AD22" s="752"/>
      <c r="AE22" s="753"/>
    </row>
    <row r="23" spans="2:31" ht="23.1" customHeight="1">
      <c r="B23" s="80"/>
      <c r="C23" s="79"/>
      <c r="D23" s="79"/>
      <c r="E23" s="64"/>
      <c r="F23" s="64"/>
      <c r="G23" s="64"/>
      <c r="H23" s="64"/>
      <c r="I23" s="64"/>
      <c r="J23" s="64"/>
      <c r="K23" s="64"/>
      <c r="L23" s="64"/>
      <c r="M23" s="64"/>
      <c r="N23" s="64"/>
      <c r="O23" s="64"/>
      <c r="P23" s="72"/>
      <c r="R23" s="751"/>
      <c r="S23" s="752"/>
      <c r="T23" s="752"/>
      <c r="U23" s="752"/>
      <c r="V23" s="752"/>
      <c r="W23" s="752"/>
      <c r="X23" s="752"/>
      <c r="Y23" s="752"/>
      <c r="Z23" s="752"/>
      <c r="AA23" s="752"/>
      <c r="AB23" s="752"/>
      <c r="AC23" s="752"/>
      <c r="AD23" s="752"/>
      <c r="AE23" s="753"/>
    </row>
    <row r="24" spans="2:31" ht="23.1" customHeight="1">
      <c r="B24" s="80"/>
      <c r="C24" s="1349"/>
      <c r="D24" s="1350"/>
      <c r="E24" s="134" t="s">
        <v>783</v>
      </c>
      <c r="F24" s="1353" t="s">
        <v>784</v>
      </c>
      <c r="G24" s="1354"/>
      <c r="H24" s="1354"/>
      <c r="I24" s="1354"/>
      <c r="J24" s="1354"/>
      <c r="K24" s="1354"/>
      <c r="L24" s="1355"/>
      <c r="M24" s="134" t="s">
        <v>785</v>
      </c>
      <c r="N24" s="134"/>
      <c r="O24" s="1351" t="s">
        <v>786</v>
      </c>
      <c r="P24" s="72"/>
      <c r="R24" s="751"/>
      <c r="S24" s="752"/>
      <c r="T24" s="752"/>
      <c r="U24" s="752"/>
      <c r="V24" s="752"/>
      <c r="W24" s="752"/>
      <c r="X24" s="752"/>
      <c r="Y24" s="752"/>
      <c r="Z24" s="752"/>
      <c r="AA24" s="752"/>
      <c r="AB24" s="752"/>
      <c r="AC24" s="752"/>
      <c r="AD24" s="752"/>
      <c r="AE24" s="753"/>
    </row>
    <row r="25" spans="2:31" ht="48.95" customHeight="1">
      <c r="B25" s="80"/>
      <c r="C25" s="143" t="s">
        <v>803</v>
      </c>
      <c r="D25" s="141">
        <f>ejercicio</f>
        <v>2025</v>
      </c>
      <c r="E25" s="142">
        <f>ejercicio</f>
        <v>2025</v>
      </c>
      <c r="F25" s="138" t="s">
        <v>788</v>
      </c>
      <c r="G25" s="139" t="s">
        <v>789</v>
      </c>
      <c r="H25" s="139" t="s">
        <v>790</v>
      </c>
      <c r="I25" s="139" t="s">
        <v>791</v>
      </c>
      <c r="J25" s="139" t="s">
        <v>792</v>
      </c>
      <c r="K25" s="139" t="s">
        <v>793</v>
      </c>
      <c r="L25" s="140" t="s">
        <v>794</v>
      </c>
      <c r="M25" s="142">
        <f>ejercicio</f>
        <v>2025</v>
      </c>
      <c r="N25" s="614" t="s">
        <v>795</v>
      </c>
      <c r="O25" s="1352"/>
      <c r="P25" s="72"/>
      <c r="R25" s="751"/>
      <c r="S25" s="752"/>
      <c r="T25" s="752"/>
      <c r="U25" s="752"/>
      <c r="V25" s="752"/>
      <c r="W25" s="752"/>
      <c r="X25" s="752"/>
      <c r="Y25" s="752"/>
      <c r="Z25" s="752"/>
      <c r="AA25" s="752"/>
      <c r="AB25" s="752"/>
      <c r="AC25" s="752"/>
      <c r="AD25" s="752"/>
      <c r="AE25" s="753"/>
    </row>
    <row r="26" spans="2:31" ht="23.1" customHeight="1">
      <c r="B26" s="80"/>
      <c r="C26" s="618" t="s">
        <v>796</v>
      </c>
      <c r="D26" s="930"/>
      <c r="E26" s="118">
        <f>+M15</f>
        <v>50196.800000000003</v>
      </c>
      <c r="F26" s="648"/>
      <c r="G26" s="980"/>
      <c r="H26" s="980"/>
      <c r="I26" s="980">
        <f>+'FC-3_CPyG'!H43</f>
        <v>-9900</v>
      </c>
      <c r="J26" s="980"/>
      <c r="K26" s="980"/>
      <c r="L26" s="981"/>
      <c r="M26" s="118">
        <f>SUM(E26:L26)</f>
        <v>40296.800000000003</v>
      </c>
      <c r="N26" s="615"/>
      <c r="O26" s="922"/>
      <c r="P26" s="72"/>
      <c r="R26" s="758"/>
      <c r="S26" s="759"/>
      <c r="T26" s="759"/>
      <c r="U26" s="759"/>
      <c r="V26" s="759"/>
      <c r="W26" s="759"/>
      <c r="X26" s="759"/>
      <c r="Y26" s="759"/>
      <c r="Z26" s="759"/>
      <c r="AA26" s="759"/>
      <c r="AB26" s="759"/>
      <c r="AC26" s="759"/>
      <c r="AD26" s="759"/>
      <c r="AE26" s="760"/>
    </row>
    <row r="27" spans="2:31" ht="23.1" customHeight="1">
      <c r="B27" s="80"/>
      <c r="C27" s="619" t="s">
        <v>797</v>
      </c>
      <c r="D27" s="933"/>
      <c r="E27" s="120">
        <f>+M16</f>
        <v>2397869.96</v>
      </c>
      <c r="F27" s="982"/>
      <c r="G27" s="983"/>
      <c r="H27" s="983"/>
      <c r="I27" s="983"/>
      <c r="J27" s="983"/>
      <c r="K27" s="983"/>
      <c r="L27" s="984"/>
      <c r="M27" s="120">
        <f>SUM(E27:L27)</f>
        <v>2397869.96</v>
      </c>
      <c r="N27" s="616"/>
      <c r="O27" s="585"/>
      <c r="P27" s="72"/>
      <c r="R27" s="758"/>
      <c r="S27" s="759"/>
      <c r="T27" s="759"/>
      <c r="U27" s="759"/>
      <c r="V27" s="759"/>
      <c r="W27" s="759"/>
      <c r="X27" s="759"/>
      <c r="Y27" s="759"/>
      <c r="Z27" s="759"/>
      <c r="AA27" s="759"/>
      <c r="AB27" s="759"/>
      <c r="AC27" s="759"/>
      <c r="AD27" s="759"/>
      <c r="AE27" s="760"/>
    </row>
    <row r="28" spans="2:31" ht="23.1" customHeight="1">
      <c r="B28" s="80"/>
      <c r="C28" s="619" t="s">
        <v>798</v>
      </c>
      <c r="D28" s="933"/>
      <c r="E28" s="120">
        <f>+M17</f>
        <v>18531048.880000003</v>
      </c>
      <c r="F28" s="982">
        <f>+'FC-6_Inversiones'!I46</f>
        <v>4612000</v>
      </c>
      <c r="G28" s="983"/>
      <c r="H28" s="983"/>
      <c r="I28" s="983">
        <f>+'FC-3_CPyG'!H44</f>
        <v>-657275.64</v>
      </c>
      <c r="J28" s="983"/>
      <c r="K28" s="983"/>
      <c r="L28" s="984"/>
      <c r="M28" s="120">
        <f>SUM(E28:L28)</f>
        <v>22485773.240000002</v>
      </c>
      <c r="N28" s="616"/>
      <c r="O28" s="585"/>
      <c r="P28" s="72"/>
      <c r="R28" s="751"/>
      <c r="S28" s="752"/>
      <c r="T28" s="752"/>
      <c r="U28" s="752"/>
      <c r="V28" s="752"/>
      <c r="W28" s="752"/>
      <c r="X28" s="752"/>
      <c r="Y28" s="752"/>
      <c r="Z28" s="752"/>
      <c r="AA28" s="752"/>
      <c r="AB28" s="752"/>
      <c r="AC28" s="752"/>
      <c r="AD28" s="752"/>
      <c r="AE28" s="753"/>
    </row>
    <row r="29" spans="2:31" ht="23.1" customHeight="1">
      <c r="B29" s="80"/>
      <c r="C29" s="619" t="s">
        <v>799</v>
      </c>
      <c r="D29" s="933"/>
      <c r="E29" s="120">
        <f>+M18</f>
        <v>124322.78</v>
      </c>
      <c r="F29" s="982"/>
      <c r="G29" s="983"/>
      <c r="H29" s="983"/>
      <c r="I29" s="983"/>
      <c r="J29" s="983"/>
      <c r="K29" s="983"/>
      <c r="L29" s="984"/>
      <c r="M29" s="120">
        <f>SUM(E29:L29)</f>
        <v>124322.78</v>
      </c>
      <c r="N29" s="616"/>
      <c r="O29" s="585"/>
      <c r="P29" s="72"/>
      <c r="R29" s="751"/>
      <c r="S29" s="752"/>
      <c r="T29" s="752"/>
      <c r="U29" s="752"/>
      <c r="V29" s="752"/>
      <c r="W29" s="752"/>
      <c r="X29" s="752"/>
      <c r="Y29" s="752"/>
      <c r="Z29" s="752"/>
      <c r="AA29" s="752"/>
      <c r="AB29" s="752"/>
      <c r="AC29" s="752"/>
      <c r="AD29" s="752"/>
      <c r="AE29" s="753"/>
    </row>
    <row r="30" spans="2:31" ht="23.1" customHeight="1">
      <c r="B30" s="80"/>
      <c r="C30" s="603" t="s">
        <v>800</v>
      </c>
      <c r="D30" s="985"/>
      <c r="E30" s="121">
        <f>+M19</f>
        <v>0</v>
      </c>
      <c r="F30" s="652"/>
      <c r="G30" s="986"/>
      <c r="H30" s="986"/>
      <c r="I30" s="986"/>
      <c r="J30" s="986"/>
      <c r="K30" s="986"/>
      <c r="L30" s="987"/>
      <c r="M30" s="121">
        <f>SUM(E30:L30)</f>
        <v>0</v>
      </c>
      <c r="N30" s="617"/>
      <c r="O30" s="918"/>
      <c r="P30" s="72"/>
      <c r="R30" s="751"/>
      <c r="S30" s="752"/>
      <c r="T30" s="752"/>
      <c r="U30" s="752"/>
      <c r="V30" s="752"/>
      <c r="W30" s="752"/>
      <c r="X30" s="752"/>
      <c r="Y30" s="752"/>
      <c r="Z30" s="752"/>
      <c r="AA30" s="752"/>
      <c r="AB30" s="752"/>
      <c r="AC30" s="752"/>
      <c r="AD30" s="752"/>
      <c r="AE30" s="753"/>
    </row>
    <row r="31" spans="2:31" ht="23.1" customHeight="1" thickBot="1">
      <c r="B31" s="80"/>
      <c r="C31" s="111" t="s">
        <v>801</v>
      </c>
      <c r="D31" s="112"/>
      <c r="E31" s="119">
        <f t="shared" ref="E31:N31" si="1">SUM(E26:E30)</f>
        <v>21103438.420000002</v>
      </c>
      <c r="F31" s="119">
        <f t="shared" si="1"/>
        <v>4612000</v>
      </c>
      <c r="G31" s="119">
        <f t="shared" si="1"/>
        <v>0</v>
      </c>
      <c r="H31" s="119">
        <f t="shared" si="1"/>
        <v>0</v>
      </c>
      <c r="I31" s="119">
        <f t="shared" si="1"/>
        <v>-667175.64</v>
      </c>
      <c r="J31" s="119">
        <f t="shared" si="1"/>
        <v>0</v>
      </c>
      <c r="K31" s="119">
        <f t="shared" si="1"/>
        <v>0</v>
      </c>
      <c r="L31" s="119">
        <f t="shared" si="1"/>
        <v>0</v>
      </c>
      <c r="M31" s="119">
        <f t="shared" si="1"/>
        <v>25048262.780000001</v>
      </c>
      <c r="N31" s="119">
        <f t="shared" si="1"/>
        <v>0</v>
      </c>
      <c r="O31" s="113"/>
      <c r="P31" s="72"/>
      <c r="R31" s="751"/>
      <c r="S31" s="752"/>
      <c r="T31" s="752"/>
      <c r="U31" s="752"/>
      <c r="V31" s="752"/>
      <c r="W31" s="752"/>
      <c r="X31" s="752"/>
      <c r="Y31" s="752"/>
      <c r="Z31" s="752"/>
      <c r="AA31" s="752"/>
      <c r="AB31" s="752"/>
      <c r="AC31" s="752"/>
      <c r="AD31" s="752"/>
      <c r="AE31" s="753"/>
    </row>
    <row r="32" spans="2:31" ht="9" customHeight="1">
      <c r="B32" s="80"/>
      <c r="C32" s="107"/>
      <c r="D32" s="107"/>
      <c r="E32" s="108"/>
      <c r="F32" s="108"/>
      <c r="G32" s="108"/>
      <c r="H32" s="108"/>
      <c r="I32" s="108"/>
      <c r="J32" s="108"/>
      <c r="K32" s="108"/>
      <c r="L32" s="108"/>
      <c r="M32" s="108"/>
      <c r="N32" s="108"/>
      <c r="O32" s="108"/>
      <c r="P32" s="72"/>
      <c r="R32" s="761"/>
      <c r="S32" s="762"/>
      <c r="T32" s="762"/>
      <c r="U32" s="762"/>
      <c r="V32" s="762"/>
      <c r="W32" s="762"/>
      <c r="X32" s="762"/>
      <c r="Y32" s="762"/>
      <c r="Z32" s="762"/>
      <c r="AA32" s="762"/>
      <c r="AB32" s="762"/>
      <c r="AC32" s="762"/>
      <c r="AD32" s="762"/>
      <c r="AE32" s="763"/>
    </row>
    <row r="33" spans="2:31" ht="23.1" customHeight="1" thickBot="1">
      <c r="B33" s="80"/>
      <c r="C33" s="869" t="s">
        <v>802</v>
      </c>
      <c r="D33" s="870"/>
      <c r="E33" s="119">
        <f>+M22</f>
        <v>0</v>
      </c>
      <c r="F33" s="989"/>
      <c r="G33" s="990"/>
      <c r="H33" s="990"/>
      <c r="I33" s="990"/>
      <c r="J33" s="990"/>
      <c r="K33" s="990"/>
      <c r="L33" s="991"/>
      <c r="M33" s="119">
        <f>SUM(E33:L33)</f>
        <v>0</v>
      </c>
      <c r="N33" s="613"/>
      <c r="O33" s="992"/>
      <c r="P33" s="72"/>
      <c r="R33" s="761"/>
      <c r="S33" s="762"/>
      <c r="T33" s="762"/>
      <c r="U33" s="762"/>
      <c r="V33" s="762"/>
      <c r="W33" s="762"/>
      <c r="X33" s="762"/>
      <c r="Y33" s="762"/>
      <c r="Z33" s="762"/>
      <c r="AA33" s="762"/>
      <c r="AB33" s="762"/>
      <c r="AC33" s="762"/>
      <c r="AD33" s="762"/>
      <c r="AE33" s="763"/>
    </row>
    <row r="34" spans="2:31" ht="23.1" customHeight="1">
      <c r="B34" s="80"/>
      <c r="C34" s="79"/>
      <c r="D34" s="79"/>
      <c r="E34" s="64"/>
      <c r="F34" s="64"/>
      <c r="G34" s="64"/>
      <c r="H34" s="64"/>
      <c r="I34" s="64"/>
      <c r="J34" s="64"/>
      <c r="K34" s="64"/>
      <c r="L34" s="64"/>
      <c r="M34" s="64"/>
      <c r="N34" s="64"/>
      <c r="O34" s="64"/>
      <c r="P34" s="72"/>
      <c r="R34" s="761"/>
      <c r="S34" s="762"/>
      <c r="T34" s="762"/>
      <c r="U34" s="762"/>
      <c r="V34" s="762"/>
      <c r="W34" s="762"/>
      <c r="X34" s="762"/>
      <c r="Y34" s="762"/>
      <c r="Z34" s="762"/>
      <c r="AA34" s="762"/>
      <c r="AB34" s="762"/>
      <c r="AC34" s="762"/>
      <c r="AD34" s="762"/>
      <c r="AE34" s="763"/>
    </row>
    <row r="35" spans="2:31" ht="23.1" customHeight="1">
      <c r="B35" s="80"/>
      <c r="C35" s="117" t="s">
        <v>317</v>
      </c>
      <c r="D35" s="115"/>
      <c r="E35" s="116"/>
      <c r="F35" s="116"/>
      <c r="G35" s="116"/>
      <c r="H35" s="116"/>
      <c r="I35" s="116"/>
      <c r="J35" s="116"/>
      <c r="K35" s="116"/>
      <c r="L35" s="116"/>
      <c r="M35" s="116"/>
      <c r="N35" s="116"/>
      <c r="O35" s="64"/>
      <c r="P35" s="72"/>
      <c r="R35" s="761"/>
      <c r="S35" s="762"/>
      <c r="T35" s="762"/>
      <c r="U35" s="762"/>
      <c r="V35" s="762"/>
      <c r="W35" s="762"/>
      <c r="X35" s="762"/>
      <c r="Y35" s="762"/>
      <c r="Z35" s="762"/>
      <c r="AA35" s="762"/>
      <c r="AB35" s="762"/>
      <c r="AC35" s="762"/>
      <c r="AD35" s="762"/>
      <c r="AE35" s="763"/>
    </row>
    <row r="36" spans="2:31" ht="18">
      <c r="B36" s="80"/>
      <c r="C36" s="115" t="s">
        <v>804</v>
      </c>
      <c r="D36" s="115"/>
      <c r="E36" s="116"/>
      <c r="F36" s="116"/>
      <c r="G36" s="116"/>
      <c r="H36" s="116"/>
      <c r="I36" s="116"/>
      <c r="J36" s="116"/>
      <c r="K36" s="116"/>
      <c r="L36" s="116"/>
      <c r="M36" s="116"/>
      <c r="N36" s="116"/>
      <c r="O36" s="64"/>
      <c r="P36" s="72"/>
      <c r="R36" s="761"/>
      <c r="S36" s="762"/>
      <c r="T36" s="762"/>
      <c r="U36" s="762"/>
      <c r="V36" s="762"/>
      <c r="W36" s="762"/>
      <c r="X36" s="762"/>
      <c r="Y36" s="762"/>
      <c r="Z36" s="762"/>
      <c r="AA36" s="762"/>
      <c r="AB36" s="762"/>
      <c r="AC36" s="762"/>
      <c r="AD36" s="762"/>
      <c r="AE36" s="763"/>
    </row>
    <row r="37" spans="2:31" ht="18">
      <c r="B37" s="80"/>
      <c r="C37" s="115" t="s">
        <v>805</v>
      </c>
      <c r="D37" s="115"/>
      <c r="E37" s="116"/>
      <c r="F37" s="116"/>
      <c r="G37" s="116"/>
      <c r="H37" s="116"/>
      <c r="I37" s="116"/>
      <c r="J37" s="116"/>
      <c r="K37" s="116"/>
      <c r="L37" s="116"/>
      <c r="M37" s="116"/>
      <c r="N37" s="116"/>
      <c r="O37" s="64"/>
      <c r="P37" s="72"/>
      <c r="R37" s="761"/>
      <c r="S37" s="762"/>
      <c r="T37" s="762"/>
      <c r="U37" s="762"/>
      <c r="V37" s="762"/>
      <c r="W37" s="762"/>
      <c r="X37" s="762"/>
      <c r="Y37" s="762"/>
      <c r="Z37" s="762"/>
      <c r="AA37" s="762"/>
      <c r="AB37" s="762"/>
      <c r="AC37" s="762"/>
      <c r="AD37" s="762"/>
      <c r="AE37" s="763"/>
    </row>
    <row r="38" spans="2:31" ht="18">
      <c r="B38" s="80"/>
      <c r="C38" s="115" t="s">
        <v>806</v>
      </c>
      <c r="D38" s="115"/>
      <c r="E38" s="116"/>
      <c r="F38" s="116"/>
      <c r="G38" s="116"/>
      <c r="H38" s="116"/>
      <c r="I38" s="116"/>
      <c r="J38" s="116"/>
      <c r="K38" s="116"/>
      <c r="L38" s="116"/>
      <c r="M38" s="116"/>
      <c r="N38" s="116"/>
      <c r="O38" s="64"/>
      <c r="P38" s="72"/>
      <c r="R38" s="761"/>
      <c r="S38" s="762"/>
      <c r="T38" s="762"/>
      <c r="U38" s="762"/>
      <c r="V38" s="762"/>
      <c r="W38" s="762"/>
      <c r="X38" s="762"/>
      <c r="Y38" s="762"/>
      <c r="Z38" s="762"/>
      <c r="AA38" s="762"/>
      <c r="AB38" s="762"/>
      <c r="AC38" s="762"/>
      <c r="AD38" s="762"/>
      <c r="AE38" s="763"/>
    </row>
    <row r="39" spans="2:31" ht="18">
      <c r="B39" s="80"/>
      <c r="C39" s="115" t="s">
        <v>807</v>
      </c>
      <c r="D39" s="115"/>
      <c r="E39" s="116"/>
      <c r="F39" s="116"/>
      <c r="G39" s="116"/>
      <c r="H39" s="116"/>
      <c r="I39" s="116"/>
      <c r="J39" s="116"/>
      <c r="K39" s="116"/>
      <c r="L39" s="116"/>
      <c r="M39" s="116"/>
      <c r="N39" s="116"/>
      <c r="O39" s="64"/>
      <c r="P39" s="72"/>
      <c r="R39" s="761"/>
      <c r="S39" s="762"/>
      <c r="T39" s="762"/>
      <c r="U39" s="762"/>
      <c r="V39" s="762"/>
      <c r="W39" s="762"/>
      <c r="X39" s="762"/>
      <c r="Y39" s="762"/>
      <c r="Z39" s="762"/>
      <c r="AA39" s="762"/>
      <c r="AB39" s="762"/>
      <c r="AC39" s="762"/>
      <c r="AD39" s="762"/>
      <c r="AE39" s="763"/>
    </row>
    <row r="40" spans="2:31" ht="18">
      <c r="B40" s="80"/>
      <c r="C40" s="115" t="s">
        <v>808</v>
      </c>
      <c r="D40" s="115"/>
      <c r="E40" s="116"/>
      <c r="F40" s="116"/>
      <c r="G40" s="116"/>
      <c r="H40" s="116"/>
      <c r="I40" s="116"/>
      <c r="J40" s="116"/>
      <c r="K40" s="116"/>
      <c r="L40" s="116"/>
      <c r="M40" s="116"/>
      <c r="N40" s="116"/>
      <c r="O40" s="64"/>
      <c r="P40" s="72"/>
      <c r="R40" s="761"/>
      <c r="S40" s="762"/>
      <c r="T40" s="762"/>
      <c r="U40" s="762"/>
      <c r="V40" s="762"/>
      <c r="W40" s="762"/>
      <c r="X40" s="762"/>
      <c r="Y40" s="762"/>
      <c r="Z40" s="762"/>
      <c r="AA40" s="762"/>
      <c r="AB40" s="762"/>
      <c r="AC40" s="762"/>
      <c r="AD40" s="762"/>
      <c r="AE40" s="763"/>
    </row>
    <row r="41" spans="2:31" ht="18">
      <c r="B41" s="80"/>
      <c r="C41" s="115" t="s">
        <v>809</v>
      </c>
      <c r="D41" s="115"/>
      <c r="E41" s="116"/>
      <c r="F41" s="116"/>
      <c r="G41" s="116"/>
      <c r="H41" s="116"/>
      <c r="I41" s="116"/>
      <c r="J41" s="116"/>
      <c r="K41" s="116"/>
      <c r="L41" s="116"/>
      <c r="M41" s="116"/>
      <c r="N41" s="116"/>
      <c r="O41" s="64"/>
      <c r="P41" s="72"/>
      <c r="R41" s="761"/>
      <c r="S41" s="762"/>
      <c r="T41" s="762"/>
      <c r="U41" s="762"/>
      <c r="V41" s="762"/>
      <c r="W41" s="762"/>
      <c r="X41" s="762"/>
      <c r="Y41" s="762"/>
      <c r="Z41" s="762"/>
      <c r="AA41" s="762"/>
      <c r="AB41" s="762"/>
      <c r="AC41" s="762"/>
      <c r="AD41" s="762"/>
      <c r="AE41" s="763"/>
    </row>
    <row r="42" spans="2:31" ht="18">
      <c r="B42" s="80"/>
      <c r="C42" s="115" t="s">
        <v>810</v>
      </c>
      <c r="D42" s="115"/>
      <c r="E42" s="116"/>
      <c r="F42" s="116"/>
      <c r="G42" s="116"/>
      <c r="H42" s="116"/>
      <c r="I42" s="116"/>
      <c r="J42" s="116"/>
      <c r="K42" s="116"/>
      <c r="L42" s="116"/>
      <c r="M42" s="116"/>
      <c r="N42" s="116"/>
      <c r="O42" s="64"/>
      <c r="P42" s="72"/>
      <c r="R42" s="761"/>
      <c r="S42" s="762"/>
      <c r="T42" s="762"/>
      <c r="U42" s="762"/>
      <c r="V42" s="762"/>
      <c r="W42" s="762"/>
      <c r="X42" s="762"/>
      <c r="Y42" s="762"/>
      <c r="Z42" s="762"/>
      <c r="AA42" s="762"/>
      <c r="AB42" s="762"/>
      <c r="AC42" s="762"/>
      <c r="AD42" s="762"/>
      <c r="AE42" s="763"/>
    </row>
    <row r="43" spans="2:31" ht="18">
      <c r="B43" s="80"/>
      <c r="C43" s="115" t="s">
        <v>811</v>
      </c>
      <c r="D43" s="115"/>
      <c r="E43" s="116"/>
      <c r="F43" s="116"/>
      <c r="G43" s="116"/>
      <c r="H43" s="116"/>
      <c r="I43" s="116"/>
      <c r="J43" s="116"/>
      <c r="K43" s="116"/>
      <c r="L43" s="116"/>
      <c r="M43" s="116"/>
      <c r="N43" s="116"/>
      <c r="O43" s="64"/>
      <c r="P43" s="72"/>
      <c r="R43" s="761"/>
      <c r="S43" s="762"/>
      <c r="T43" s="762"/>
      <c r="U43" s="762"/>
      <c r="V43" s="762"/>
      <c r="W43" s="762"/>
      <c r="X43" s="762"/>
      <c r="Y43" s="762"/>
      <c r="Z43" s="762"/>
      <c r="AA43" s="762"/>
      <c r="AB43" s="762"/>
      <c r="AC43" s="762"/>
      <c r="AD43" s="762"/>
      <c r="AE43" s="763"/>
    </row>
    <row r="44" spans="2:31" ht="18">
      <c r="B44" s="80"/>
      <c r="C44" s="115" t="s">
        <v>812</v>
      </c>
      <c r="D44" s="115"/>
      <c r="E44" s="116"/>
      <c r="F44" s="116"/>
      <c r="G44" s="116"/>
      <c r="H44" s="116"/>
      <c r="I44" s="116"/>
      <c r="J44" s="116"/>
      <c r="K44" s="116"/>
      <c r="L44" s="116"/>
      <c r="M44" s="116"/>
      <c r="N44" s="116"/>
      <c r="O44" s="64"/>
      <c r="P44" s="72"/>
      <c r="R44" s="761"/>
      <c r="S44" s="762"/>
      <c r="T44" s="762"/>
      <c r="U44" s="762"/>
      <c r="V44" s="762"/>
      <c r="W44" s="762"/>
      <c r="X44" s="762"/>
      <c r="Y44" s="762"/>
      <c r="Z44" s="762"/>
      <c r="AA44" s="762"/>
      <c r="AB44" s="762"/>
      <c r="AC44" s="762"/>
      <c r="AD44" s="762"/>
      <c r="AE44" s="763"/>
    </row>
    <row r="45" spans="2:31" ht="18">
      <c r="B45" s="80"/>
      <c r="C45" s="115" t="s">
        <v>813</v>
      </c>
      <c r="D45" s="115"/>
      <c r="E45" s="116"/>
      <c r="F45" s="116"/>
      <c r="G45" s="116"/>
      <c r="H45" s="116"/>
      <c r="I45" s="116"/>
      <c r="J45" s="116"/>
      <c r="K45" s="116"/>
      <c r="L45" s="116"/>
      <c r="M45" s="116"/>
      <c r="N45" s="116"/>
      <c r="O45" s="64"/>
      <c r="P45" s="72"/>
      <c r="R45" s="761"/>
      <c r="S45" s="762"/>
      <c r="T45" s="762"/>
      <c r="U45" s="762"/>
      <c r="V45" s="762"/>
      <c r="W45" s="762"/>
      <c r="X45" s="762"/>
      <c r="Y45" s="762"/>
      <c r="Z45" s="762"/>
      <c r="AA45" s="762"/>
      <c r="AB45" s="762"/>
      <c r="AC45" s="762"/>
      <c r="AD45" s="762"/>
      <c r="AE45" s="763"/>
    </row>
    <row r="46" spans="2:31" ht="18">
      <c r="B46" s="80"/>
      <c r="C46" s="115" t="s">
        <v>814</v>
      </c>
      <c r="D46" s="115"/>
      <c r="E46" s="116"/>
      <c r="F46" s="116"/>
      <c r="G46" s="116"/>
      <c r="H46" s="116"/>
      <c r="I46" s="116"/>
      <c r="J46" s="116"/>
      <c r="K46" s="116"/>
      <c r="L46" s="116"/>
      <c r="M46" s="116"/>
      <c r="N46" s="116"/>
      <c r="O46" s="64"/>
      <c r="P46" s="72"/>
      <c r="R46" s="761"/>
      <c r="S46" s="762"/>
      <c r="T46" s="762"/>
      <c r="U46" s="762"/>
      <c r="V46" s="762"/>
      <c r="W46" s="762"/>
      <c r="X46" s="762"/>
      <c r="Y46" s="762"/>
      <c r="Z46" s="762"/>
      <c r="AA46" s="762"/>
      <c r="AB46" s="762"/>
      <c r="AC46" s="762"/>
      <c r="AD46" s="762"/>
      <c r="AE46" s="763"/>
    </row>
    <row r="47" spans="2:31" ht="23.1" customHeight="1" thickBot="1">
      <c r="B47" s="83"/>
      <c r="C47" s="1228"/>
      <c r="D47" s="1228"/>
      <c r="E47" s="1228"/>
      <c r="F47" s="1228"/>
      <c r="G47" s="33"/>
      <c r="H47" s="33"/>
      <c r="I47" s="33"/>
      <c r="J47" s="33"/>
      <c r="K47" s="33"/>
      <c r="L47" s="33"/>
      <c r="M47" s="33"/>
      <c r="N47" s="33"/>
      <c r="O47" s="84"/>
      <c r="P47" s="85"/>
      <c r="R47" s="764"/>
      <c r="S47" s="765"/>
      <c r="T47" s="765"/>
      <c r="U47" s="765"/>
      <c r="V47" s="765"/>
      <c r="W47" s="765"/>
      <c r="X47" s="765"/>
      <c r="Y47" s="765"/>
      <c r="Z47" s="765"/>
      <c r="AA47" s="765"/>
      <c r="AB47" s="765"/>
      <c r="AC47" s="765"/>
      <c r="AD47" s="765"/>
      <c r="AE47" s="766"/>
    </row>
    <row r="48" spans="2:31" ht="23.1" customHeight="1">
      <c r="Q48" s="65" t="s">
        <v>248</v>
      </c>
    </row>
    <row r="49" spans="3:15" ht="12.75">
      <c r="C49" s="86" t="s">
        <v>98</v>
      </c>
      <c r="O49" s="63" t="s">
        <v>815</v>
      </c>
    </row>
    <row r="50" spans="3:15" ht="12.75">
      <c r="C50" s="86" t="s">
        <v>100</v>
      </c>
    </row>
    <row r="51" spans="3:15" ht="12.75">
      <c r="C51" s="86" t="s">
        <v>101</v>
      </c>
    </row>
    <row r="52" spans="3:15" ht="12.75">
      <c r="C52" s="86" t="s">
        <v>102</v>
      </c>
    </row>
    <row r="53" spans="3:15" ht="12.75">
      <c r="C53" s="86" t="s">
        <v>103</v>
      </c>
    </row>
  </sheetData>
  <sheetProtection sheet="1" objects="1" scenarios="1"/>
  <mergeCells count="9">
    <mergeCell ref="O6:O7"/>
    <mergeCell ref="D9:O9"/>
    <mergeCell ref="C47:F47"/>
    <mergeCell ref="C13:D13"/>
    <mergeCell ref="O13:O14"/>
    <mergeCell ref="F13:L13"/>
    <mergeCell ref="C24:D24"/>
    <mergeCell ref="F24:L24"/>
    <mergeCell ref="O24:O25"/>
  </mergeCells>
  <phoneticPr fontId="5" type="noConversion"/>
  <printOptions horizontalCentered="1" verticalCentered="1"/>
  <pageMargins left="0.35629921259842523" right="0.35629921259842523" top="0.60629921259842523" bottom="0.60629921259842523" header="0.5" footer="0.5"/>
  <pageSetup paperSize="9" scale="48" orientation="landscape" horizontalDpi="4294967292" verticalDpi="4294967292" r:id="rId1"/>
  <drawing r:id="rId2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9F72A43-B59E-47EE-8004-6272F4F4D64D}">
  <sheetPr codeName="Hoja13">
    <pageSetUpPr fitToPage="1"/>
  </sheetPr>
  <dimension ref="A2:AC77"/>
  <sheetViews>
    <sheetView topLeftCell="A7" zoomScaleNormal="100" zoomScalePageLayoutView="125" workbookViewId="0">
      <selection activeCell="H29" sqref="H29"/>
    </sheetView>
  </sheetViews>
  <sheetFormatPr baseColWidth="10" defaultColWidth="10.6640625" defaultRowHeight="23.1" customHeight="1"/>
  <cols>
    <col min="1" max="1" width="4.109375" style="65" bestFit="1" customWidth="1"/>
    <col min="2" max="2" width="3.109375" style="65" customWidth="1"/>
    <col min="3" max="3" width="13.5546875" style="65" customWidth="1"/>
    <col min="4" max="4" width="23.109375" style="65" customWidth="1"/>
    <col min="5" max="9" width="13.44140625" style="66" customWidth="1"/>
    <col min="10" max="10" width="15.33203125" style="66" customWidth="1"/>
    <col min="11" max="11" width="15.6640625" style="66" customWidth="1"/>
    <col min="12" max="12" width="13.44140625" style="66" customWidth="1"/>
    <col min="13" max="13" width="25.88671875" style="66" customWidth="1"/>
    <col min="14" max="14" width="3.33203125" style="65" customWidth="1"/>
    <col min="15" max="16384" width="10.6640625" style="65"/>
  </cols>
  <sheetData>
    <row r="2" spans="1:29" ht="23.1" customHeight="1">
      <c r="D2" s="391" t="str">
        <f>_GENERAL!D2</f>
        <v>Área de la Presidenta: Igualdad y Diversidad, Hacienda y Proyectos Estratégicos</v>
      </c>
    </row>
    <row r="3" spans="1:29" ht="23.1" customHeight="1">
      <c r="D3" s="391" t="str">
        <f>_GENERAL!D3</f>
        <v>Dirección Insular de Hacienda</v>
      </c>
    </row>
    <row r="4" spans="1:29" ht="23.1" customHeight="1" thickBot="1">
      <c r="A4" s="65" t="s">
        <v>195</v>
      </c>
    </row>
    <row r="5" spans="1:29" ht="9" customHeight="1">
      <c r="B5" s="67"/>
      <c r="C5" s="68"/>
      <c r="D5" s="68"/>
      <c r="E5" s="69"/>
      <c r="F5" s="69"/>
      <c r="G5" s="69"/>
      <c r="H5" s="69"/>
      <c r="I5" s="69"/>
      <c r="J5" s="69"/>
      <c r="K5" s="69"/>
      <c r="L5" s="69"/>
      <c r="M5" s="69"/>
      <c r="N5" s="70"/>
      <c r="P5" s="746"/>
      <c r="Q5" s="747"/>
      <c r="R5" s="747"/>
      <c r="S5" s="747"/>
      <c r="T5" s="747"/>
      <c r="U5" s="747"/>
      <c r="V5" s="747"/>
      <c r="W5" s="747"/>
      <c r="X5" s="747"/>
      <c r="Y5" s="747"/>
      <c r="Z5" s="747"/>
      <c r="AA5" s="747"/>
      <c r="AB5" s="747"/>
      <c r="AC5" s="748"/>
    </row>
    <row r="6" spans="1:29" ht="30" customHeight="1">
      <c r="B6" s="71"/>
      <c r="C6" s="40" t="s">
        <v>2</v>
      </c>
      <c r="M6" s="1212">
        <f>ejercicio</f>
        <v>2025</v>
      </c>
      <c r="N6" s="72"/>
      <c r="P6" s="751"/>
      <c r="Q6" s="752"/>
      <c r="R6" s="752"/>
      <c r="S6" s="752"/>
      <c r="T6" s="752"/>
      <c r="U6" s="752"/>
      <c r="V6" s="752"/>
      <c r="W6" s="752"/>
      <c r="X6" s="752"/>
      <c r="Y6" s="752"/>
      <c r="Z6" s="752"/>
      <c r="AA6" s="752"/>
      <c r="AB6" s="752"/>
      <c r="AC6" s="753"/>
    </row>
    <row r="7" spans="1:29" ht="30" customHeight="1">
      <c r="B7" s="71"/>
      <c r="C7" s="40" t="s">
        <v>3</v>
      </c>
      <c r="M7" s="1212"/>
      <c r="N7" s="72"/>
      <c r="P7" s="754"/>
      <c r="Q7" s="755" t="s">
        <v>196</v>
      </c>
      <c r="R7" s="756"/>
      <c r="S7" s="756"/>
      <c r="T7" s="756"/>
      <c r="U7" s="756"/>
      <c r="V7" s="756"/>
      <c r="W7" s="756"/>
      <c r="X7" s="756"/>
      <c r="Y7" s="756"/>
      <c r="Z7" s="756"/>
      <c r="AA7" s="756"/>
      <c r="AB7" s="756"/>
      <c r="AC7" s="757"/>
    </row>
    <row r="8" spans="1:29" ht="30" customHeight="1">
      <c r="B8" s="71"/>
      <c r="C8" s="73"/>
      <c r="M8" s="74"/>
      <c r="N8" s="72"/>
      <c r="P8" s="754"/>
      <c r="Q8" s="756"/>
      <c r="R8" s="756"/>
      <c r="S8" s="756"/>
      <c r="T8" s="756"/>
      <c r="U8" s="756"/>
      <c r="V8" s="756"/>
      <c r="W8" s="756"/>
      <c r="X8" s="756"/>
      <c r="Y8" s="756"/>
      <c r="Z8" s="756"/>
      <c r="AA8" s="756"/>
      <c r="AB8" s="756"/>
      <c r="AC8" s="757"/>
    </row>
    <row r="9" spans="1:29" s="39" customFormat="1" ht="30" customHeight="1">
      <c r="A9" s="877"/>
      <c r="B9" s="905"/>
      <c r="C9" s="21" t="s">
        <v>105</v>
      </c>
      <c r="D9" s="1229" t="str">
        <f>Entidad</f>
        <v>(MERCATENERIFE) Mercados Centrales de Abastecimiento de Tenerife, S.A.</v>
      </c>
      <c r="E9" s="1229"/>
      <c r="F9" s="1229"/>
      <c r="G9" s="1229"/>
      <c r="H9" s="1229"/>
      <c r="I9" s="1229"/>
      <c r="J9" s="1229"/>
      <c r="K9" s="1229"/>
      <c r="L9" s="1229"/>
      <c r="M9" s="1229"/>
      <c r="N9" s="904"/>
      <c r="O9" s="877"/>
      <c r="P9" s="751"/>
      <c r="Q9" s="752"/>
      <c r="R9" s="752"/>
      <c r="S9" s="752"/>
      <c r="T9" s="752"/>
      <c r="U9" s="752"/>
      <c r="V9" s="752"/>
      <c r="W9" s="752"/>
      <c r="X9" s="752"/>
      <c r="Y9" s="752"/>
      <c r="Z9" s="752"/>
      <c r="AA9" s="752"/>
      <c r="AB9" s="752"/>
      <c r="AC9" s="753"/>
    </row>
    <row r="10" spans="1:29" ht="6.95" customHeight="1">
      <c r="B10" s="71"/>
      <c r="N10" s="72"/>
      <c r="P10" s="751"/>
      <c r="Q10" s="752"/>
      <c r="R10" s="752"/>
      <c r="S10" s="752"/>
      <c r="T10" s="752"/>
      <c r="U10" s="752"/>
      <c r="V10" s="752"/>
      <c r="W10" s="752"/>
      <c r="X10" s="752"/>
      <c r="Y10" s="752"/>
      <c r="Z10" s="752"/>
      <c r="AA10" s="752"/>
      <c r="AB10" s="752"/>
      <c r="AC10" s="753"/>
    </row>
    <row r="11" spans="1:29" s="79" customFormat="1" ht="30" customHeight="1">
      <c r="B11" s="75"/>
      <c r="C11" s="76" t="s">
        <v>816</v>
      </c>
      <c r="D11" s="76"/>
      <c r="E11" s="77"/>
      <c r="F11" s="77"/>
      <c r="G11" s="77"/>
      <c r="H11" s="77"/>
      <c r="I11" s="77"/>
      <c r="J11" s="77"/>
      <c r="K11" s="77"/>
      <c r="L11" s="77"/>
      <c r="M11" s="77"/>
      <c r="N11" s="78"/>
      <c r="P11" s="751"/>
      <c r="Q11" s="752"/>
      <c r="R11" s="752"/>
      <c r="S11" s="752"/>
      <c r="T11" s="752"/>
      <c r="U11" s="752"/>
      <c r="V11" s="752"/>
      <c r="W11" s="752"/>
      <c r="X11" s="752"/>
      <c r="Y11" s="752"/>
      <c r="Z11" s="752"/>
      <c r="AA11" s="752"/>
      <c r="AB11" s="752"/>
      <c r="AC11" s="753"/>
    </row>
    <row r="12" spans="1:29" s="79" customFormat="1" ht="30" customHeight="1">
      <c r="B12" s="75"/>
      <c r="C12" s="1237"/>
      <c r="D12" s="1237"/>
      <c r="E12" s="64"/>
      <c r="F12" s="64"/>
      <c r="G12" s="64"/>
      <c r="H12" s="64"/>
      <c r="I12" s="64"/>
      <c r="J12" s="64"/>
      <c r="K12" s="64"/>
      <c r="L12" s="64"/>
      <c r="M12" s="64"/>
      <c r="N12" s="78"/>
      <c r="P12" s="751"/>
      <c r="Q12" s="752"/>
      <c r="R12" s="752"/>
      <c r="S12" s="752"/>
      <c r="T12" s="752"/>
      <c r="U12" s="752"/>
      <c r="V12" s="752"/>
      <c r="W12" s="752"/>
      <c r="X12" s="752"/>
      <c r="Y12" s="752"/>
      <c r="Z12" s="752"/>
      <c r="AA12" s="752"/>
      <c r="AB12" s="752"/>
      <c r="AC12" s="753"/>
    </row>
    <row r="13" spans="1:29" s="79" customFormat="1" ht="30" customHeight="1">
      <c r="B13" s="75"/>
      <c r="C13" s="38" t="s">
        <v>817</v>
      </c>
      <c r="D13" s="8"/>
      <c r="E13" s="64"/>
      <c r="F13" s="64"/>
      <c r="G13" s="64"/>
      <c r="H13" s="64"/>
      <c r="I13" s="64"/>
      <c r="J13" s="64"/>
      <c r="K13" s="64"/>
      <c r="L13" s="64"/>
      <c r="M13" s="64"/>
      <c r="N13" s="78"/>
      <c r="P13" s="751"/>
      <c r="Q13" s="752"/>
      <c r="R13" s="752"/>
      <c r="S13" s="752"/>
      <c r="T13" s="752"/>
      <c r="U13" s="752"/>
      <c r="V13" s="752"/>
      <c r="W13" s="752"/>
      <c r="X13" s="752"/>
      <c r="Y13" s="752"/>
      <c r="Z13" s="752"/>
      <c r="AA13" s="752"/>
      <c r="AB13" s="752"/>
      <c r="AC13" s="753"/>
    </row>
    <row r="14" spans="1:29" s="79" customFormat="1" ht="30" customHeight="1">
      <c r="B14" s="75"/>
      <c r="C14" s="8"/>
      <c r="D14" s="8"/>
      <c r="E14" s="64"/>
      <c r="F14" s="64"/>
      <c r="G14" s="64"/>
      <c r="H14" s="64"/>
      <c r="I14" s="64"/>
      <c r="J14" s="64"/>
      <c r="K14" s="64"/>
      <c r="L14" s="64"/>
      <c r="M14" s="64"/>
      <c r="N14" s="78"/>
      <c r="P14" s="751"/>
      <c r="Q14" s="752"/>
      <c r="R14" s="752"/>
      <c r="S14" s="752"/>
      <c r="T14" s="752"/>
      <c r="U14" s="752"/>
      <c r="V14" s="752"/>
      <c r="W14" s="752"/>
      <c r="X14" s="752"/>
      <c r="Y14" s="752"/>
      <c r="Z14" s="752"/>
      <c r="AA14" s="752"/>
      <c r="AB14" s="752"/>
      <c r="AC14" s="753"/>
    </row>
    <row r="15" spans="1:29" s="82" customFormat="1" ht="23.1" customHeight="1">
      <c r="B15" s="80"/>
      <c r="C15" s="132"/>
      <c r="D15" s="133"/>
      <c r="E15" s="134" t="s">
        <v>492</v>
      </c>
      <c r="F15" s="134" t="s">
        <v>818</v>
      </c>
      <c r="G15" s="1353" t="s">
        <v>784</v>
      </c>
      <c r="H15" s="1354"/>
      <c r="I15" s="1354"/>
      <c r="J15" s="134" t="s">
        <v>785</v>
      </c>
      <c r="K15" s="134" t="s">
        <v>819</v>
      </c>
      <c r="L15" s="134" t="s">
        <v>820</v>
      </c>
      <c r="M15" s="1351" t="s">
        <v>821</v>
      </c>
      <c r="N15" s="81"/>
      <c r="P15" s="751"/>
      <c r="Q15" s="752"/>
      <c r="R15" s="752"/>
      <c r="S15" s="752"/>
      <c r="T15" s="752"/>
      <c r="U15" s="752"/>
      <c r="V15" s="752"/>
      <c r="W15" s="752"/>
      <c r="X15" s="752"/>
      <c r="Y15" s="752"/>
      <c r="Z15" s="752"/>
      <c r="AA15" s="752"/>
      <c r="AB15" s="752"/>
      <c r="AC15" s="753"/>
    </row>
    <row r="16" spans="1:29" ht="54" customHeight="1">
      <c r="B16" s="71"/>
      <c r="C16" s="135" t="s">
        <v>822</v>
      </c>
      <c r="D16" s="136"/>
      <c r="E16" s="137" t="s">
        <v>823</v>
      </c>
      <c r="F16" s="137">
        <f>ejercicio</f>
        <v>2025</v>
      </c>
      <c r="G16" s="1127" t="s">
        <v>824</v>
      </c>
      <c r="H16" s="1128" t="s">
        <v>825</v>
      </c>
      <c r="I16" s="1129" t="s">
        <v>826</v>
      </c>
      <c r="J16" s="137">
        <f>ejercicio</f>
        <v>2025</v>
      </c>
      <c r="K16" s="137" t="s">
        <v>827</v>
      </c>
      <c r="L16" s="137">
        <f>ejercicio</f>
        <v>2025</v>
      </c>
      <c r="M16" s="1352"/>
      <c r="N16" s="72"/>
      <c r="P16" s="751"/>
      <c r="Q16" s="752"/>
      <c r="R16" s="752"/>
      <c r="S16" s="752"/>
      <c r="T16" s="752"/>
      <c r="U16" s="752"/>
      <c r="V16" s="752"/>
      <c r="W16" s="752"/>
      <c r="X16" s="752"/>
      <c r="Y16" s="752"/>
      <c r="Z16" s="752"/>
      <c r="AA16" s="752"/>
      <c r="AB16" s="752"/>
      <c r="AC16" s="753"/>
    </row>
    <row r="17" spans="2:29" ht="30" customHeight="1" thickBot="1">
      <c r="B17" s="71"/>
      <c r="C17" s="1356" t="s">
        <v>828</v>
      </c>
      <c r="D17" s="1356"/>
      <c r="E17" s="1356"/>
      <c r="F17" s="1356"/>
      <c r="G17" s="1356"/>
      <c r="H17" s="1356"/>
      <c r="I17" s="1356"/>
      <c r="J17" s="1356"/>
      <c r="K17" s="1356"/>
      <c r="L17" s="1356"/>
      <c r="M17" s="1356"/>
      <c r="N17" s="72"/>
      <c r="P17" s="751"/>
      <c r="Q17" s="752"/>
      <c r="R17" s="752"/>
      <c r="S17" s="752"/>
      <c r="T17" s="752"/>
      <c r="U17" s="752"/>
      <c r="V17" s="752"/>
      <c r="W17" s="752"/>
      <c r="X17" s="752"/>
      <c r="Y17" s="752"/>
      <c r="Z17" s="752"/>
      <c r="AA17" s="752"/>
      <c r="AB17" s="752"/>
      <c r="AC17" s="753"/>
    </row>
    <row r="18" spans="2:29" s="17" customFormat="1" ht="23.1" customHeight="1">
      <c r="B18" s="80"/>
      <c r="C18" s="725"/>
      <c r="D18" s="727"/>
      <c r="E18" s="993"/>
      <c r="F18" s="650"/>
      <c r="G18" s="994"/>
      <c r="H18" s="994"/>
      <c r="I18" s="994"/>
      <c r="J18" s="125">
        <f t="shared" ref="J18:J24" si="0">SUM(F18:I18)</f>
        <v>0</v>
      </c>
      <c r="K18" s="995"/>
      <c r="L18" s="656"/>
      <c r="M18" s="996"/>
      <c r="N18" s="81"/>
      <c r="P18" s="751"/>
      <c r="Q18" s="752"/>
      <c r="R18" s="752"/>
      <c r="S18" s="752"/>
      <c r="T18" s="752"/>
      <c r="U18" s="752"/>
      <c r="V18" s="752"/>
      <c r="W18" s="752"/>
      <c r="X18" s="752"/>
      <c r="Y18" s="752"/>
      <c r="Z18" s="752"/>
      <c r="AA18" s="752"/>
      <c r="AB18" s="752"/>
      <c r="AC18" s="753"/>
    </row>
    <row r="19" spans="2:29" ht="23.1" customHeight="1">
      <c r="B19" s="80"/>
      <c r="C19" s="586"/>
      <c r="D19" s="726"/>
      <c r="E19" s="997"/>
      <c r="F19" s="982"/>
      <c r="G19" s="983"/>
      <c r="H19" s="983"/>
      <c r="I19" s="983"/>
      <c r="J19" s="120">
        <f t="shared" si="0"/>
        <v>0</v>
      </c>
      <c r="K19" s="998"/>
      <c r="L19" s="600"/>
      <c r="M19" s="999"/>
      <c r="N19" s="72"/>
      <c r="P19" s="751"/>
      <c r="Q19" s="752"/>
      <c r="R19" s="752"/>
      <c r="S19" s="752"/>
      <c r="T19" s="752"/>
      <c r="U19" s="752"/>
      <c r="V19" s="752"/>
      <c r="W19" s="752"/>
      <c r="X19" s="752"/>
      <c r="Y19" s="752"/>
      <c r="Z19" s="752"/>
      <c r="AA19" s="752"/>
      <c r="AB19" s="752"/>
      <c r="AC19" s="753"/>
    </row>
    <row r="20" spans="2:29" ht="23.1" customHeight="1">
      <c r="B20" s="80"/>
      <c r="C20" s="586"/>
      <c r="D20" s="726"/>
      <c r="E20" s="997"/>
      <c r="F20" s="982"/>
      <c r="G20" s="983"/>
      <c r="H20" s="983"/>
      <c r="I20" s="983"/>
      <c r="J20" s="120">
        <f t="shared" si="0"/>
        <v>0</v>
      </c>
      <c r="K20" s="998"/>
      <c r="L20" s="600"/>
      <c r="M20" s="999"/>
      <c r="N20" s="72"/>
      <c r="P20" s="751"/>
      <c r="Q20" s="752"/>
      <c r="R20" s="752"/>
      <c r="S20" s="752"/>
      <c r="T20" s="752"/>
      <c r="U20" s="752"/>
      <c r="V20" s="752"/>
      <c r="W20" s="752"/>
      <c r="X20" s="752"/>
      <c r="Y20" s="752"/>
      <c r="Z20" s="752"/>
      <c r="AA20" s="752"/>
      <c r="AB20" s="752"/>
      <c r="AC20" s="753"/>
    </row>
    <row r="21" spans="2:29" ht="23.1" customHeight="1">
      <c r="B21" s="80"/>
      <c r="C21" s="586"/>
      <c r="D21" s="726"/>
      <c r="E21" s="997"/>
      <c r="F21" s="982"/>
      <c r="G21" s="983"/>
      <c r="H21" s="983"/>
      <c r="I21" s="983"/>
      <c r="J21" s="120">
        <f t="shared" si="0"/>
        <v>0</v>
      </c>
      <c r="K21" s="998"/>
      <c r="L21" s="600"/>
      <c r="M21" s="999"/>
      <c r="N21" s="72"/>
      <c r="P21" s="751"/>
      <c r="Q21" s="752"/>
      <c r="R21" s="752"/>
      <c r="S21" s="752"/>
      <c r="T21" s="752"/>
      <c r="U21" s="752"/>
      <c r="V21" s="752"/>
      <c r="W21" s="752"/>
      <c r="X21" s="752"/>
      <c r="Y21" s="752"/>
      <c r="Z21" s="752"/>
      <c r="AA21" s="752"/>
      <c r="AB21" s="752"/>
      <c r="AC21" s="753"/>
    </row>
    <row r="22" spans="2:29" ht="23.1" customHeight="1">
      <c r="B22" s="80"/>
      <c r="C22" s="586"/>
      <c r="D22" s="726"/>
      <c r="E22" s="1000"/>
      <c r="F22" s="1001"/>
      <c r="G22" s="1002"/>
      <c r="H22" s="1002"/>
      <c r="I22" s="1002"/>
      <c r="J22" s="120">
        <f t="shared" si="0"/>
        <v>0</v>
      </c>
      <c r="K22" s="1003"/>
      <c r="L22" s="1004"/>
      <c r="M22" s="1005"/>
      <c r="N22" s="72"/>
      <c r="P22" s="751"/>
      <c r="Q22" s="752"/>
      <c r="R22" s="752"/>
      <c r="S22" s="752"/>
      <c r="T22" s="752"/>
      <c r="U22" s="752"/>
      <c r="V22" s="752"/>
      <c r="W22" s="752"/>
      <c r="X22" s="752"/>
      <c r="Y22" s="752"/>
      <c r="Z22" s="752"/>
      <c r="AA22" s="752"/>
      <c r="AB22" s="752"/>
      <c r="AC22" s="753"/>
    </row>
    <row r="23" spans="2:29" ht="23.1" customHeight="1">
      <c r="B23" s="80"/>
      <c r="C23" s="586"/>
      <c r="D23" s="726"/>
      <c r="E23" s="1000"/>
      <c r="F23" s="1001"/>
      <c r="G23" s="1002"/>
      <c r="H23" s="1002"/>
      <c r="I23" s="1002"/>
      <c r="J23" s="120">
        <f t="shared" si="0"/>
        <v>0</v>
      </c>
      <c r="K23" s="1003"/>
      <c r="L23" s="1004"/>
      <c r="M23" s="1005"/>
      <c r="N23" s="72"/>
      <c r="P23" s="751"/>
      <c r="Q23" s="752"/>
      <c r="R23" s="752"/>
      <c r="S23" s="752"/>
      <c r="T23" s="752"/>
      <c r="U23" s="752"/>
      <c r="V23" s="752"/>
      <c r="W23" s="752"/>
      <c r="X23" s="752"/>
      <c r="Y23" s="752"/>
      <c r="Z23" s="752"/>
      <c r="AA23" s="752"/>
      <c r="AB23" s="752"/>
      <c r="AC23" s="753"/>
    </row>
    <row r="24" spans="2:29" ht="23.1" customHeight="1">
      <c r="B24" s="80"/>
      <c r="C24" s="1006"/>
      <c r="D24" s="1007"/>
      <c r="E24" s="1008"/>
      <c r="F24" s="652"/>
      <c r="G24" s="986"/>
      <c r="H24" s="986"/>
      <c r="I24" s="986"/>
      <c r="J24" s="121">
        <f t="shared" si="0"/>
        <v>0</v>
      </c>
      <c r="K24" s="1009"/>
      <c r="L24" s="658"/>
      <c r="M24" s="1007"/>
      <c r="N24" s="72"/>
      <c r="P24" s="751"/>
      <c r="Q24" s="752"/>
      <c r="R24" s="752"/>
      <c r="S24" s="752"/>
      <c r="T24" s="752"/>
      <c r="U24" s="752"/>
      <c r="V24" s="752"/>
      <c r="W24" s="752"/>
      <c r="X24" s="752"/>
      <c r="Y24" s="752"/>
      <c r="Z24" s="752"/>
      <c r="AA24" s="752"/>
      <c r="AB24" s="752"/>
      <c r="AC24" s="753"/>
    </row>
    <row r="25" spans="2:29" ht="23.1" customHeight="1" thickBot="1">
      <c r="B25" s="80"/>
      <c r="C25" s="111" t="s">
        <v>801</v>
      </c>
      <c r="D25" s="112"/>
      <c r="E25" s="119"/>
      <c r="F25" s="119">
        <f>SUM(F18:F24)</f>
        <v>0</v>
      </c>
      <c r="G25" s="119">
        <f>SUM(G18:G24)</f>
        <v>0</v>
      </c>
      <c r="H25" s="119">
        <f>SUM(H18:H24)</f>
        <v>0</v>
      </c>
      <c r="I25" s="119">
        <f>SUM(I18:I24)</f>
        <v>0</v>
      </c>
      <c r="J25" s="119">
        <f>SUM(J18:J24)</f>
        <v>0</v>
      </c>
      <c r="K25" s="123"/>
      <c r="L25" s="119">
        <f>SUM(L18:L24)</f>
        <v>0</v>
      </c>
      <c r="M25" s="113"/>
      <c r="N25" s="72"/>
      <c r="P25" s="751"/>
      <c r="Q25" s="752"/>
      <c r="R25" s="752"/>
      <c r="S25" s="752"/>
      <c r="T25" s="752"/>
      <c r="U25" s="752"/>
      <c r="V25" s="752"/>
      <c r="W25" s="752"/>
      <c r="X25" s="752"/>
      <c r="Y25" s="752"/>
      <c r="Z25" s="752"/>
      <c r="AA25" s="752"/>
      <c r="AB25" s="752"/>
      <c r="AC25" s="753"/>
    </row>
    <row r="26" spans="2:29" ht="30" customHeight="1" thickBot="1">
      <c r="B26" s="71"/>
      <c r="C26" s="1357" t="s">
        <v>829</v>
      </c>
      <c r="D26" s="1357"/>
      <c r="E26" s="1357"/>
      <c r="F26" s="1357"/>
      <c r="G26" s="1357"/>
      <c r="H26" s="1357"/>
      <c r="I26" s="1357"/>
      <c r="J26" s="1357"/>
      <c r="K26" s="1357"/>
      <c r="L26" s="1357"/>
      <c r="M26" s="1357"/>
      <c r="N26" s="72"/>
      <c r="P26" s="758"/>
      <c r="Q26" s="759"/>
      <c r="R26" s="759"/>
      <c r="S26" s="759"/>
      <c r="T26" s="759"/>
      <c r="U26" s="759"/>
      <c r="V26" s="759"/>
      <c r="W26" s="759"/>
      <c r="X26" s="759"/>
      <c r="Y26" s="759"/>
      <c r="Z26" s="759"/>
      <c r="AA26" s="759"/>
      <c r="AB26" s="759"/>
      <c r="AC26" s="760"/>
    </row>
    <row r="27" spans="2:29" ht="23.1" customHeight="1">
      <c r="B27" s="80"/>
      <c r="C27" s="725" t="s">
        <v>830</v>
      </c>
      <c r="D27" s="727"/>
      <c r="E27" s="993">
        <v>5325000000</v>
      </c>
      <c r="F27" s="650">
        <v>1000000</v>
      </c>
      <c r="G27" s="994"/>
      <c r="H27" s="994">
        <v>-1000000</v>
      </c>
      <c r="I27" s="994"/>
      <c r="J27" s="125">
        <f t="shared" ref="J27:J33" si="1">SUM(F27:I27)</f>
        <v>0</v>
      </c>
      <c r="K27" s="995"/>
      <c r="L27" s="656"/>
      <c r="M27" s="996"/>
      <c r="N27" s="81"/>
      <c r="P27" s="758"/>
      <c r="Q27" s="759"/>
      <c r="R27" s="759"/>
      <c r="S27" s="759"/>
      <c r="T27" s="759"/>
      <c r="U27" s="759"/>
      <c r="V27" s="759"/>
      <c r="W27" s="759"/>
      <c r="X27" s="759"/>
      <c r="Y27" s="759"/>
      <c r="Z27" s="759"/>
      <c r="AA27" s="759"/>
      <c r="AB27" s="759"/>
      <c r="AC27" s="760"/>
    </row>
    <row r="28" spans="2:29" ht="23.1" customHeight="1">
      <c r="B28" s="80"/>
      <c r="C28" s="586" t="str">
        <f>+C27</f>
        <v>Contratación IPF SEPI</v>
      </c>
      <c r="D28" s="726"/>
      <c r="E28" s="997"/>
      <c r="F28" s="982"/>
      <c r="G28" s="983">
        <v>1000000</v>
      </c>
      <c r="H28" s="983">
        <v>-1000000</v>
      </c>
      <c r="I28" s="983"/>
      <c r="J28" s="120">
        <f t="shared" si="1"/>
        <v>0</v>
      </c>
      <c r="K28" s="998"/>
      <c r="L28" s="600"/>
      <c r="M28" s="999"/>
      <c r="N28" s="72"/>
      <c r="P28" s="751"/>
      <c r="Q28" s="752"/>
      <c r="R28" s="752"/>
      <c r="S28" s="752"/>
      <c r="T28" s="752"/>
      <c r="U28" s="752"/>
      <c r="V28" s="752"/>
      <c r="W28" s="752"/>
      <c r="X28" s="752"/>
      <c r="Y28" s="752"/>
      <c r="Z28" s="752"/>
      <c r="AA28" s="752"/>
      <c r="AB28" s="752"/>
      <c r="AC28" s="753"/>
    </row>
    <row r="29" spans="2:29" ht="23.1" customHeight="1">
      <c r="B29" s="80"/>
      <c r="C29" s="586"/>
      <c r="D29" s="726"/>
      <c r="E29" s="997"/>
      <c r="F29" s="982"/>
      <c r="G29" s="983"/>
      <c r="H29" s="983"/>
      <c r="I29" s="983"/>
      <c r="J29" s="120">
        <f t="shared" si="1"/>
        <v>0</v>
      </c>
      <c r="K29" s="998"/>
      <c r="L29" s="600"/>
      <c r="M29" s="999"/>
      <c r="N29" s="72"/>
      <c r="P29" s="751"/>
      <c r="Q29" s="752"/>
      <c r="R29" s="752"/>
      <c r="S29" s="752"/>
      <c r="T29" s="752"/>
      <c r="U29" s="752"/>
      <c r="V29" s="752"/>
      <c r="W29" s="752"/>
      <c r="X29" s="752"/>
      <c r="Y29" s="752"/>
      <c r="Z29" s="752"/>
      <c r="AA29" s="752"/>
      <c r="AB29" s="752"/>
      <c r="AC29" s="753"/>
    </row>
    <row r="30" spans="2:29" ht="23.1" customHeight="1">
      <c r="B30" s="80"/>
      <c r="C30" s="586"/>
      <c r="D30" s="726"/>
      <c r="E30" s="997"/>
      <c r="F30" s="982"/>
      <c r="G30" s="983"/>
      <c r="H30" s="983"/>
      <c r="I30" s="983"/>
      <c r="J30" s="120">
        <f t="shared" si="1"/>
        <v>0</v>
      </c>
      <c r="K30" s="998"/>
      <c r="L30" s="600"/>
      <c r="M30" s="999"/>
      <c r="N30" s="72"/>
      <c r="P30" s="751"/>
      <c r="Q30" s="752"/>
      <c r="R30" s="752"/>
      <c r="S30" s="752"/>
      <c r="T30" s="752"/>
      <c r="U30" s="752"/>
      <c r="V30" s="752"/>
      <c r="W30" s="752"/>
      <c r="X30" s="752"/>
      <c r="Y30" s="752"/>
      <c r="Z30" s="752"/>
      <c r="AA30" s="752"/>
      <c r="AB30" s="752"/>
      <c r="AC30" s="753"/>
    </row>
    <row r="31" spans="2:29" ht="23.1" customHeight="1">
      <c r="B31" s="80"/>
      <c r="C31" s="586"/>
      <c r="D31" s="726"/>
      <c r="E31" s="1000"/>
      <c r="F31" s="1001"/>
      <c r="G31" s="1002"/>
      <c r="H31" s="1002"/>
      <c r="I31" s="1002"/>
      <c r="J31" s="120">
        <f t="shared" si="1"/>
        <v>0</v>
      </c>
      <c r="K31" s="1003"/>
      <c r="L31" s="1004"/>
      <c r="M31" s="1005"/>
      <c r="N31" s="72"/>
      <c r="P31" s="751"/>
      <c r="Q31" s="752"/>
      <c r="R31" s="752"/>
      <c r="S31" s="752"/>
      <c r="T31" s="752"/>
      <c r="U31" s="752"/>
      <c r="V31" s="752"/>
      <c r="W31" s="752"/>
      <c r="X31" s="752"/>
      <c r="Y31" s="752"/>
      <c r="Z31" s="752"/>
      <c r="AA31" s="752"/>
      <c r="AB31" s="752"/>
      <c r="AC31" s="753"/>
    </row>
    <row r="32" spans="2:29" ht="23.1" customHeight="1">
      <c r="B32" s="80"/>
      <c r="C32" s="586"/>
      <c r="D32" s="726"/>
      <c r="E32" s="1000"/>
      <c r="F32" s="1001"/>
      <c r="G32" s="1002"/>
      <c r="H32" s="1002"/>
      <c r="I32" s="1002"/>
      <c r="J32" s="120">
        <f t="shared" si="1"/>
        <v>0</v>
      </c>
      <c r="K32" s="1003"/>
      <c r="L32" s="1004"/>
      <c r="M32" s="1005"/>
      <c r="N32" s="72"/>
      <c r="P32" s="761"/>
      <c r="Q32" s="762"/>
      <c r="R32" s="762"/>
      <c r="S32" s="762"/>
      <c r="T32" s="762"/>
      <c r="U32" s="762"/>
      <c r="V32" s="762"/>
      <c r="W32" s="762"/>
      <c r="X32" s="762"/>
      <c r="Y32" s="762"/>
      <c r="Z32" s="762"/>
      <c r="AA32" s="762"/>
      <c r="AB32" s="762"/>
      <c r="AC32" s="763"/>
    </row>
    <row r="33" spans="2:29" ht="23.1" customHeight="1">
      <c r="B33" s="80"/>
      <c r="C33" s="909"/>
      <c r="D33" s="910"/>
      <c r="E33" s="1008"/>
      <c r="F33" s="652"/>
      <c r="G33" s="986"/>
      <c r="H33" s="986"/>
      <c r="I33" s="986"/>
      <c r="J33" s="121">
        <f t="shared" si="1"/>
        <v>0</v>
      </c>
      <c r="K33" s="1009"/>
      <c r="L33" s="658"/>
      <c r="M33" s="1007"/>
      <c r="N33" s="72"/>
      <c r="P33" s="761"/>
      <c r="Q33" s="762"/>
      <c r="R33" s="762"/>
      <c r="S33" s="762"/>
      <c r="T33" s="762"/>
      <c r="U33" s="762"/>
      <c r="V33" s="762"/>
      <c r="W33" s="762"/>
      <c r="X33" s="762"/>
      <c r="Y33" s="762"/>
      <c r="Z33" s="762"/>
      <c r="AA33" s="762"/>
      <c r="AB33" s="762"/>
      <c r="AC33" s="763"/>
    </row>
    <row r="34" spans="2:29" ht="23.1" customHeight="1" thickBot="1">
      <c r="B34" s="80"/>
      <c r="C34" s="111" t="s">
        <v>801</v>
      </c>
      <c r="D34" s="112"/>
      <c r="E34" s="119"/>
      <c r="F34" s="119">
        <f>SUM(F27:F33)</f>
        <v>1000000</v>
      </c>
      <c r="G34" s="119">
        <f>SUM(G27:G33)</f>
        <v>1000000</v>
      </c>
      <c r="H34" s="119">
        <f>SUM(H27:H33)</f>
        <v>-2000000</v>
      </c>
      <c r="I34" s="119">
        <f>SUM(I27:I33)</f>
        <v>0</v>
      </c>
      <c r="J34" s="119">
        <f>SUM(J27:J33)</f>
        <v>0</v>
      </c>
      <c r="K34" s="123"/>
      <c r="L34" s="119">
        <f>SUM(L27:L33)</f>
        <v>0</v>
      </c>
      <c r="M34" s="113"/>
      <c r="N34" s="72"/>
      <c r="P34" s="761"/>
      <c r="Q34" s="762"/>
      <c r="R34" s="762"/>
      <c r="S34" s="762"/>
      <c r="T34" s="762"/>
      <c r="U34" s="762"/>
      <c r="V34" s="762"/>
      <c r="W34" s="762"/>
      <c r="X34" s="762"/>
      <c r="Y34" s="762"/>
      <c r="Z34" s="762"/>
      <c r="AA34" s="762"/>
      <c r="AB34" s="762"/>
      <c r="AC34" s="763"/>
    </row>
    <row r="35" spans="2:29" ht="23.1" customHeight="1">
      <c r="B35" s="80"/>
      <c r="C35" s="107"/>
      <c r="D35" s="107"/>
      <c r="E35" s="108"/>
      <c r="F35" s="108"/>
      <c r="G35" s="108"/>
      <c r="H35" s="108"/>
      <c r="I35" s="108"/>
      <c r="J35" s="108"/>
      <c r="K35" s="108"/>
      <c r="L35" s="108"/>
      <c r="M35" s="108"/>
      <c r="N35" s="72"/>
      <c r="P35" s="761"/>
      <c r="Q35" s="762"/>
      <c r="R35" s="762"/>
      <c r="S35" s="762"/>
      <c r="T35" s="762"/>
      <c r="U35" s="762"/>
      <c r="V35" s="762"/>
      <c r="W35" s="762"/>
      <c r="X35" s="762"/>
      <c r="Y35" s="762"/>
      <c r="Z35" s="762"/>
      <c r="AA35" s="762"/>
      <c r="AB35" s="762"/>
      <c r="AC35" s="763"/>
    </row>
    <row r="36" spans="2:29" ht="23.1" customHeight="1">
      <c r="B36" s="80"/>
      <c r="C36" s="107"/>
      <c r="D36" s="107"/>
      <c r="E36" s="108"/>
      <c r="F36" s="108"/>
      <c r="G36" s="108"/>
      <c r="H36" s="108"/>
      <c r="I36" s="108"/>
      <c r="J36" s="108"/>
      <c r="K36" s="108"/>
      <c r="L36" s="108"/>
      <c r="M36" s="108"/>
      <c r="N36" s="72"/>
      <c r="P36" s="761"/>
      <c r="Q36" s="762"/>
      <c r="R36" s="762"/>
      <c r="S36" s="762"/>
      <c r="T36" s="762"/>
      <c r="U36" s="762"/>
      <c r="V36" s="762"/>
      <c r="W36" s="762"/>
      <c r="X36" s="762"/>
      <c r="Y36" s="762"/>
      <c r="Z36" s="762"/>
      <c r="AA36" s="762"/>
      <c r="AB36" s="762"/>
      <c r="AC36" s="763"/>
    </row>
    <row r="37" spans="2:29" ht="23.1" customHeight="1">
      <c r="B37" s="80"/>
      <c r="C37" s="38" t="s">
        <v>831</v>
      </c>
      <c r="D37" s="8"/>
      <c r="E37" s="64"/>
      <c r="F37" s="64"/>
      <c r="G37" s="64"/>
      <c r="H37" s="64"/>
      <c r="I37" s="64"/>
      <c r="J37" s="64"/>
      <c r="K37" s="64"/>
      <c r="L37" s="64"/>
      <c r="M37" s="64"/>
      <c r="N37" s="72"/>
      <c r="P37" s="761"/>
      <c r="Q37" s="762"/>
      <c r="R37" s="762"/>
      <c r="S37" s="762"/>
      <c r="T37" s="762"/>
      <c r="U37" s="762"/>
      <c r="V37" s="762"/>
      <c r="W37" s="762"/>
      <c r="X37" s="762"/>
      <c r="Y37" s="762"/>
      <c r="Z37" s="762"/>
      <c r="AA37" s="762"/>
      <c r="AB37" s="762"/>
      <c r="AC37" s="763"/>
    </row>
    <row r="38" spans="2:29" ht="23.1" customHeight="1">
      <c r="B38" s="80"/>
      <c r="C38" s="8"/>
      <c r="D38" s="8"/>
      <c r="E38" s="64"/>
      <c r="F38" s="64"/>
      <c r="G38" s="64"/>
      <c r="H38" s="64"/>
      <c r="I38" s="64"/>
      <c r="J38" s="64"/>
      <c r="K38" s="64"/>
      <c r="L38" s="64"/>
      <c r="M38" s="64"/>
      <c r="N38" s="72"/>
      <c r="P38" s="761"/>
      <c r="Q38" s="762"/>
      <c r="R38" s="762"/>
      <c r="S38" s="762"/>
      <c r="T38" s="762"/>
      <c r="U38" s="762"/>
      <c r="V38" s="762"/>
      <c r="W38" s="762"/>
      <c r="X38" s="762"/>
      <c r="Y38" s="762"/>
      <c r="Z38" s="762"/>
      <c r="AA38" s="762"/>
      <c r="AB38" s="762"/>
      <c r="AC38" s="763"/>
    </row>
    <row r="39" spans="2:29" ht="23.1" customHeight="1">
      <c r="B39" s="80"/>
      <c r="C39" s="132"/>
      <c r="D39" s="133"/>
      <c r="E39" s="134" t="s">
        <v>492</v>
      </c>
      <c r="F39" s="134" t="s">
        <v>818</v>
      </c>
      <c r="G39" s="1353" t="s">
        <v>784</v>
      </c>
      <c r="H39" s="1354"/>
      <c r="I39" s="1354"/>
      <c r="J39" s="134" t="s">
        <v>785</v>
      </c>
      <c r="K39" s="134" t="s">
        <v>819</v>
      </c>
      <c r="L39" s="134" t="s">
        <v>820</v>
      </c>
      <c r="M39" s="1351" t="s">
        <v>832</v>
      </c>
      <c r="N39" s="72"/>
      <c r="P39" s="761"/>
      <c r="Q39" s="762"/>
      <c r="R39" s="762"/>
      <c r="S39" s="762"/>
      <c r="T39" s="762"/>
      <c r="U39" s="762"/>
      <c r="V39" s="762"/>
      <c r="W39" s="762"/>
      <c r="X39" s="762"/>
      <c r="Y39" s="762"/>
      <c r="Z39" s="762"/>
      <c r="AA39" s="762"/>
      <c r="AB39" s="762"/>
      <c r="AC39" s="763"/>
    </row>
    <row r="40" spans="2:29" ht="48.95" customHeight="1">
      <c r="B40" s="80"/>
      <c r="C40" s="135" t="s">
        <v>822</v>
      </c>
      <c r="D40" s="136"/>
      <c r="E40" s="137" t="s">
        <v>823</v>
      </c>
      <c r="F40" s="137">
        <f>ejercicio</f>
        <v>2025</v>
      </c>
      <c r="G40" s="1130" t="s">
        <v>824</v>
      </c>
      <c r="H40" s="1131" t="s">
        <v>825</v>
      </c>
      <c r="I40" s="1132" t="s">
        <v>826</v>
      </c>
      <c r="J40" s="137">
        <f>ejercicio</f>
        <v>2025</v>
      </c>
      <c r="K40" s="137" t="s">
        <v>833</v>
      </c>
      <c r="L40" s="137">
        <f>ejercicio</f>
        <v>2025</v>
      </c>
      <c r="M40" s="1352"/>
      <c r="N40" s="72"/>
      <c r="P40" s="761"/>
      <c r="Q40" s="762"/>
      <c r="R40" s="762"/>
      <c r="S40" s="762"/>
      <c r="T40" s="762"/>
      <c r="U40" s="762"/>
      <c r="V40" s="762"/>
      <c r="W40" s="762"/>
      <c r="X40" s="762"/>
      <c r="Y40" s="762"/>
      <c r="Z40" s="762"/>
      <c r="AA40" s="762"/>
      <c r="AB40" s="762"/>
      <c r="AC40" s="763"/>
    </row>
    <row r="41" spans="2:29" ht="30" customHeight="1" thickBot="1">
      <c r="B41" s="80"/>
      <c r="C41" s="1356" t="s">
        <v>834</v>
      </c>
      <c r="D41" s="1356"/>
      <c r="E41" s="1356"/>
      <c r="F41" s="1356"/>
      <c r="G41" s="1356"/>
      <c r="H41" s="1356"/>
      <c r="I41" s="1356"/>
      <c r="J41" s="1356"/>
      <c r="K41" s="1356"/>
      <c r="L41" s="1356"/>
      <c r="M41" s="1356"/>
      <c r="N41" s="72"/>
      <c r="P41" s="761"/>
      <c r="Q41" s="762"/>
      <c r="R41" s="762"/>
      <c r="S41" s="762"/>
      <c r="T41" s="762"/>
      <c r="U41" s="762"/>
      <c r="V41" s="762"/>
      <c r="W41" s="762"/>
      <c r="X41" s="762"/>
      <c r="Y41" s="762"/>
      <c r="Z41" s="762"/>
      <c r="AA41" s="762"/>
      <c r="AB41" s="762"/>
      <c r="AC41" s="763"/>
    </row>
    <row r="42" spans="2:29" ht="23.1" customHeight="1">
      <c r="B42" s="80"/>
      <c r="C42" s="725"/>
      <c r="D42" s="727"/>
      <c r="E42" s="993"/>
      <c r="F42" s="650"/>
      <c r="G42" s="994"/>
      <c r="H42" s="994"/>
      <c r="I42" s="994"/>
      <c r="J42" s="125">
        <f t="shared" ref="J42:J48" si="2">SUM(F42:I42)</f>
        <v>0</v>
      </c>
      <c r="K42" s="995"/>
      <c r="L42" s="1010"/>
      <c r="M42" s="996"/>
      <c r="N42" s="72"/>
      <c r="P42" s="761"/>
      <c r="Q42" s="762"/>
      <c r="R42" s="762"/>
      <c r="S42" s="762"/>
      <c r="T42" s="762"/>
      <c r="U42" s="762"/>
      <c r="V42" s="762"/>
      <c r="W42" s="762"/>
      <c r="X42" s="762"/>
      <c r="Y42" s="762"/>
      <c r="Z42" s="762"/>
      <c r="AA42" s="762"/>
      <c r="AB42" s="762"/>
      <c r="AC42" s="763"/>
    </row>
    <row r="43" spans="2:29" ht="23.1" customHeight="1">
      <c r="B43" s="80"/>
      <c r="C43" s="586"/>
      <c r="D43" s="726"/>
      <c r="E43" s="997"/>
      <c r="F43" s="982"/>
      <c r="G43" s="983"/>
      <c r="H43" s="983"/>
      <c r="I43" s="983"/>
      <c r="J43" s="120">
        <f t="shared" si="2"/>
        <v>0</v>
      </c>
      <c r="K43" s="998"/>
      <c r="L43" s="1011"/>
      <c r="M43" s="999"/>
      <c r="N43" s="72"/>
      <c r="P43" s="761"/>
      <c r="Q43" s="762"/>
      <c r="R43" s="762"/>
      <c r="S43" s="762"/>
      <c r="T43" s="762"/>
      <c r="U43" s="762"/>
      <c r="V43" s="762"/>
      <c r="W43" s="762"/>
      <c r="X43" s="762"/>
      <c r="Y43" s="762"/>
      <c r="Z43" s="762"/>
      <c r="AA43" s="762"/>
      <c r="AB43" s="762"/>
      <c r="AC43" s="763"/>
    </row>
    <row r="44" spans="2:29" ht="23.1" customHeight="1">
      <c r="B44" s="80"/>
      <c r="C44" s="586"/>
      <c r="D44" s="726"/>
      <c r="E44" s="997"/>
      <c r="F44" s="982"/>
      <c r="G44" s="983"/>
      <c r="H44" s="983"/>
      <c r="I44" s="983"/>
      <c r="J44" s="120">
        <f t="shared" si="2"/>
        <v>0</v>
      </c>
      <c r="K44" s="998"/>
      <c r="L44" s="1011"/>
      <c r="M44" s="999"/>
      <c r="N44" s="72"/>
      <c r="P44" s="761"/>
      <c r="Q44" s="762"/>
      <c r="R44" s="762"/>
      <c r="S44" s="762"/>
      <c r="T44" s="762"/>
      <c r="U44" s="762"/>
      <c r="V44" s="762"/>
      <c r="W44" s="762"/>
      <c r="X44" s="762"/>
      <c r="Y44" s="762"/>
      <c r="Z44" s="762"/>
      <c r="AA44" s="762"/>
      <c r="AB44" s="762"/>
      <c r="AC44" s="763"/>
    </row>
    <row r="45" spans="2:29" ht="23.1" customHeight="1">
      <c r="B45" s="80"/>
      <c r="C45" s="586"/>
      <c r="D45" s="726"/>
      <c r="E45" s="997"/>
      <c r="F45" s="982"/>
      <c r="G45" s="983"/>
      <c r="H45" s="983"/>
      <c r="I45" s="983"/>
      <c r="J45" s="120">
        <f t="shared" si="2"/>
        <v>0</v>
      </c>
      <c r="K45" s="998"/>
      <c r="L45" s="1011"/>
      <c r="M45" s="999"/>
      <c r="N45" s="72"/>
      <c r="P45" s="761"/>
      <c r="Q45" s="762"/>
      <c r="R45" s="762"/>
      <c r="S45" s="762"/>
      <c r="T45" s="762"/>
      <c r="U45" s="762"/>
      <c r="V45" s="762"/>
      <c r="W45" s="762"/>
      <c r="X45" s="762"/>
      <c r="Y45" s="762"/>
      <c r="Z45" s="762"/>
      <c r="AA45" s="762"/>
      <c r="AB45" s="762"/>
      <c r="AC45" s="763"/>
    </row>
    <row r="46" spans="2:29" ht="23.1" customHeight="1">
      <c r="B46" s="80"/>
      <c r="C46" s="586"/>
      <c r="D46" s="726"/>
      <c r="E46" s="1000"/>
      <c r="F46" s="1001"/>
      <c r="G46" s="1002"/>
      <c r="H46" s="1002"/>
      <c r="I46" s="1002"/>
      <c r="J46" s="120">
        <f t="shared" si="2"/>
        <v>0</v>
      </c>
      <c r="K46" s="1003"/>
      <c r="L46" s="1012"/>
      <c r="M46" s="1005"/>
      <c r="N46" s="72"/>
      <c r="P46" s="761"/>
      <c r="Q46" s="762"/>
      <c r="R46" s="762"/>
      <c r="S46" s="762"/>
      <c r="T46" s="762"/>
      <c r="U46" s="762"/>
      <c r="V46" s="762"/>
      <c r="W46" s="762"/>
      <c r="X46" s="762"/>
      <c r="Y46" s="762"/>
      <c r="Z46" s="762"/>
      <c r="AA46" s="762"/>
      <c r="AB46" s="762"/>
      <c r="AC46" s="763"/>
    </row>
    <row r="47" spans="2:29" ht="23.1" customHeight="1">
      <c r="B47" s="80"/>
      <c r="C47" s="586"/>
      <c r="D47" s="726"/>
      <c r="E47" s="1000"/>
      <c r="F47" s="1001"/>
      <c r="G47" s="1002"/>
      <c r="H47" s="1002"/>
      <c r="I47" s="1002"/>
      <c r="J47" s="120">
        <f t="shared" si="2"/>
        <v>0</v>
      </c>
      <c r="K47" s="1003"/>
      <c r="L47" s="1012"/>
      <c r="M47" s="1005"/>
      <c r="N47" s="72"/>
      <c r="P47" s="761"/>
      <c r="Q47" s="762"/>
      <c r="R47" s="762"/>
      <c r="S47" s="762"/>
      <c r="T47" s="762"/>
      <c r="U47" s="762"/>
      <c r="V47" s="762"/>
      <c r="W47" s="762"/>
      <c r="X47" s="762"/>
      <c r="Y47" s="762"/>
      <c r="Z47" s="762"/>
      <c r="AA47" s="762"/>
      <c r="AB47" s="762"/>
      <c r="AC47" s="763"/>
    </row>
    <row r="48" spans="2:29" ht="23.1" customHeight="1">
      <c r="B48" s="80"/>
      <c r="C48" s="909"/>
      <c r="D48" s="910"/>
      <c r="E48" s="1008"/>
      <c r="F48" s="652"/>
      <c r="G48" s="986"/>
      <c r="H48" s="986"/>
      <c r="I48" s="986"/>
      <c r="J48" s="121">
        <f t="shared" si="2"/>
        <v>0</v>
      </c>
      <c r="K48" s="1009"/>
      <c r="L48" s="1013"/>
      <c r="M48" s="1007"/>
      <c r="N48" s="72"/>
      <c r="P48" s="761"/>
      <c r="Q48" s="762"/>
      <c r="R48" s="762"/>
      <c r="S48" s="762"/>
      <c r="T48" s="762"/>
      <c r="U48" s="762"/>
      <c r="V48" s="762"/>
      <c r="W48" s="762"/>
      <c r="X48" s="762"/>
      <c r="Y48" s="762"/>
      <c r="Z48" s="762"/>
      <c r="AA48" s="762"/>
      <c r="AB48" s="762"/>
      <c r="AC48" s="763"/>
    </row>
    <row r="49" spans="2:29" ht="23.1" customHeight="1" thickBot="1">
      <c r="B49" s="80"/>
      <c r="C49" s="111" t="s">
        <v>801</v>
      </c>
      <c r="D49" s="112"/>
      <c r="E49" s="119"/>
      <c r="F49" s="119">
        <f>SUM(F42:F48)</f>
        <v>0</v>
      </c>
      <c r="G49" s="119">
        <f>SUM(G42:G48)</f>
        <v>0</v>
      </c>
      <c r="H49" s="119">
        <f>SUM(H42:H48)</f>
        <v>0</v>
      </c>
      <c r="I49" s="119">
        <f>SUM(I42:I48)</f>
        <v>0</v>
      </c>
      <c r="J49" s="119">
        <f>SUM(J42:J48)</f>
        <v>0</v>
      </c>
      <c r="K49" s="284"/>
      <c r="L49" s="119">
        <f>SUM(L42:L48)</f>
        <v>0</v>
      </c>
      <c r="M49" s="113"/>
      <c r="N49" s="72"/>
      <c r="P49" s="761"/>
      <c r="Q49" s="762"/>
      <c r="R49" s="762"/>
      <c r="S49" s="762"/>
      <c r="T49" s="762"/>
      <c r="U49" s="762"/>
      <c r="V49" s="762"/>
      <c r="W49" s="762"/>
      <c r="X49" s="762"/>
      <c r="Y49" s="762"/>
      <c r="Z49" s="762"/>
      <c r="AA49" s="762"/>
      <c r="AB49" s="762"/>
      <c r="AC49" s="763"/>
    </row>
    <row r="50" spans="2:29" ht="29.1" customHeight="1" thickBot="1">
      <c r="B50" s="80"/>
      <c r="C50" s="1357" t="s">
        <v>835</v>
      </c>
      <c r="D50" s="1357"/>
      <c r="E50" s="1357"/>
      <c r="F50" s="1357"/>
      <c r="G50" s="1357"/>
      <c r="H50" s="1357"/>
      <c r="I50" s="1357"/>
      <c r="J50" s="1357"/>
      <c r="K50" s="1357"/>
      <c r="L50" s="1357"/>
      <c r="M50" s="1357"/>
      <c r="N50" s="72"/>
      <c r="P50" s="761"/>
      <c r="Q50" s="762"/>
      <c r="R50" s="762"/>
      <c r="S50" s="762"/>
      <c r="T50" s="762"/>
      <c r="U50" s="762"/>
      <c r="V50" s="762"/>
      <c r="W50" s="762"/>
      <c r="X50" s="762"/>
      <c r="Y50" s="762"/>
      <c r="Z50" s="762"/>
      <c r="AA50" s="762"/>
      <c r="AB50" s="762"/>
      <c r="AC50" s="763"/>
    </row>
    <row r="51" spans="2:29" ht="23.1" customHeight="1">
      <c r="B51" s="80"/>
      <c r="C51" s="586" t="s">
        <v>836</v>
      </c>
      <c r="D51" s="726"/>
      <c r="E51" s="993">
        <v>250</v>
      </c>
      <c r="F51" s="650">
        <v>2378.9699999999998</v>
      </c>
      <c r="G51" s="994"/>
      <c r="H51" s="994"/>
      <c r="I51" s="994"/>
      <c r="J51" s="125">
        <f t="shared" ref="J51:J57" si="3">SUM(F51:I51)</f>
        <v>2378.9699999999998</v>
      </c>
      <c r="K51" s="995"/>
      <c r="L51" s="656"/>
      <c r="M51" s="996"/>
      <c r="N51" s="72"/>
      <c r="P51" s="761"/>
      <c r="Q51" s="762"/>
      <c r="R51" s="762"/>
      <c r="S51" s="762"/>
      <c r="T51" s="762"/>
      <c r="U51" s="762"/>
      <c r="V51" s="762"/>
      <c r="W51" s="762"/>
      <c r="X51" s="762"/>
      <c r="Y51" s="762"/>
      <c r="Z51" s="762"/>
      <c r="AA51" s="762"/>
      <c r="AB51" s="762"/>
      <c r="AC51" s="763"/>
    </row>
    <row r="52" spans="2:29" ht="23.1" customHeight="1">
      <c r="B52" s="80"/>
      <c r="C52" s="586"/>
      <c r="D52" s="726"/>
      <c r="E52" s="997"/>
      <c r="F52" s="982"/>
      <c r="G52" s="983"/>
      <c r="H52" s="983"/>
      <c r="I52" s="983"/>
      <c r="J52" s="120">
        <f t="shared" si="3"/>
        <v>0</v>
      </c>
      <c r="K52" s="998"/>
      <c r="L52" s="600"/>
      <c r="M52" s="999"/>
      <c r="N52" s="72"/>
      <c r="P52" s="761"/>
      <c r="Q52" s="762"/>
      <c r="R52" s="762"/>
      <c r="S52" s="762"/>
      <c r="T52" s="762"/>
      <c r="U52" s="762"/>
      <c r="V52" s="762"/>
      <c r="W52" s="762"/>
      <c r="X52" s="762"/>
      <c r="Y52" s="762"/>
      <c r="Z52" s="762"/>
      <c r="AA52" s="762"/>
      <c r="AB52" s="762"/>
      <c r="AC52" s="763"/>
    </row>
    <row r="53" spans="2:29" ht="23.1" customHeight="1">
      <c r="B53" s="80"/>
      <c r="C53" s="586"/>
      <c r="D53" s="726"/>
      <c r="E53" s="997"/>
      <c r="F53" s="982"/>
      <c r="G53" s="983"/>
      <c r="H53" s="983"/>
      <c r="I53" s="983"/>
      <c r="J53" s="120">
        <f t="shared" si="3"/>
        <v>0</v>
      </c>
      <c r="K53" s="998"/>
      <c r="L53" s="600"/>
      <c r="M53" s="999"/>
      <c r="N53" s="72"/>
      <c r="P53" s="761"/>
      <c r="Q53" s="762"/>
      <c r="R53" s="762"/>
      <c r="S53" s="762"/>
      <c r="T53" s="762"/>
      <c r="U53" s="762"/>
      <c r="V53" s="762"/>
      <c r="W53" s="762"/>
      <c r="X53" s="762"/>
      <c r="Y53" s="762"/>
      <c r="Z53" s="762"/>
      <c r="AA53" s="762"/>
      <c r="AB53" s="762"/>
      <c r="AC53" s="763"/>
    </row>
    <row r="54" spans="2:29" ht="23.1" customHeight="1">
      <c r="B54" s="80"/>
      <c r="C54" s="586"/>
      <c r="D54" s="726"/>
      <c r="E54" s="997"/>
      <c r="F54" s="982"/>
      <c r="G54" s="983"/>
      <c r="H54" s="983"/>
      <c r="I54" s="983"/>
      <c r="J54" s="120">
        <f t="shared" si="3"/>
        <v>0</v>
      </c>
      <c r="K54" s="998"/>
      <c r="L54" s="600"/>
      <c r="M54" s="999"/>
      <c r="N54" s="72"/>
      <c r="P54" s="761"/>
      <c r="Q54" s="762"/>
      <c r="R54" s="762"/>
      <c r="S54" s="762"/>
      <c r="T54" s="762"/>
      <c r="U54" s="762"/>
      <c r="V54" s="762"/>
      <c r="W54" s="762"/>
      <c r="X54" s="762"/>
      <c r="Y54" s="762"/>
      <c r="Z54" s="762"/>
      <c r="AA54" s="762"/>
      <c r="AB54" s="762"/>
      <c r="AC54" s="763"/>
    </row>
    <row r="55" spans="2:29" ht="23.1" customHeight="1">
      <c r="B55" s="80"/>
      <c r="C55" s="586"/>
      <c r="D55" s="726"/>
      <c r="E55" s="1000"/>
      <c r="F55" s="1001"/>
      <c r="G55" s="1002"/>
      <c r="H55" s="1002"/>
      <c r="I55" s="1002"/>
      <c r="J55" s="120">
        <f t="shared" si="3"/>
        <v>0</v>
      </c>
      <c r="K55" s="1003"/>
      <c r="L55" s="1004"/>
      <c r="M55" s="1005"/>
      <c r="N55" s="72"/>
      <c r="P55" s="761"/>
      <c r="Q55" s="762"/>
      <c r="R55" s="762"/>
      <c r="S55" s="762"/>
      <c r="T55" s="762"/>
      <c r="U55" s="762"/>
      <c r="V55" s="762"/>
      <c r="W55" s="762"/>
      <c r="X55" s="762"/>
      <c r="Y55" s="762"/>
      <c r="Z55" s="762"/>
      <c r="AA55" s="762"/>
      <c r="AB55" s="762"/>
      <c r="AC55" s="763"/>
    </row>
    <row r="56" spans="2:29" ht="23.1" customHeight="1">
      <c r="B56" s="80"/>
      <c r="C56" s="586"/>
      <c r="D56" s="726"/>
      <c r="E56" s="1000"/>
      <c r="F56" s="1001"/>
      <c r="G56" s="1002"/>
      <c r="H56" s="1002"/>
      <c r="I56" s="1002"/>
      <c r="J56" s="120">
        <f t="shared" si="3"/>
        <v>0</v>
      </c>
      <c r="K56" s="1003"/>
      <c r="L56" s="1004"/>
      <c r="M56" s="1005"/>
      <c r="N56" s="72"/>
      <c r="P56" s="761"/>
      <c r="Q56" s="762"/>
      <c r="R56" s="762"/>
      <c r="S56" s="762"/>
      <c r="T56" s="762"/>
      <c r="U56" s="762"/>
      <c r="V56" s="762"/>
      <c r="W56" s="762"/>
      <c r="X56" s="762"/>
      <c r="Y56" s="762"/>
      <c r="Z56" s="762"/>
      <c r="AA56" s="762"/>
      <c r="AB56" s="762"/>
      <c r="AC56" s="763"/>
    </row>
    <row r="57" spans="2:29" ht="23.1" customHeight="1">
      <c r="B57" s="80"/>
      <c r="C57" s="909"/>
      <c r="D57" s="910"/>
      <c r="E57" s="1008"/>
      <c r="F57" s="652"/>
      <c r="G57" s="986"/>
      <c r="H57" s="986"/>
      <c r="I57" s="986"/>
      <c r="J57" s="121">
        <f t="shared" si="3"/>
        <v>0</v>
      </c>
      <c r="K57" s="1009"/>
      <c r="L57" s="658"/>
      <c r="M57" s="1007"/>
      <c r="N57" s="72"/>
      <c r="P57" s="761"/>
      <c r="Q57" s="762"/>
      <c r="R57" s="762"/>
      <c r="S57" s="762"/>
      <c r="T57" s="762"/>
      <c r="U57" s="762"/>
      <c r="V57" s="762"/>
      <c r="W57" s="762"/>
      <c r="X57" s="762"/>
      <c r="Y57" s="762"/>
      <c r="Z57" s="762"/>
      <c r="AA57" s="762"/>
      <c r="AB57" s="762"/>
      <c r="AC57" s="763"/>
    </row>
    <row r="58" spans="2:29" ht="23.1" customHeight="1" thickBot="1">
      <c r="B58" s="80"/>
      <c r="C58" s="111" t="s">
        <v>801</v>
      </c>
      <c r="D58" s="112"/>
      <c r="E58" s="119"/>
      <c r="F58" s="119">
        <f>SUM(F51:F57)</f>
        <v>2378.9699999999998</v>
      </c>
      <c r="G58" s="119">
        <f>SUM(G51:G57)</f>
        <v>0</v>
      </c>
      <c r="H58" s="119">
        <f>SUM(H51:H57)</f>
        <v>0</v>
      </c>
      <c r="I58" s="119">
        <f>SUM(I51:I57)</f>
        <v>0</v>
      </c>
      <c r="J58" s="119">
        <f>SUM(J51:J57)</f>
        <v>2378.9699999999998</v>
      </c>
      <c r="K58" s="123"/>
      <c r="L58" s="119">
        <f>SUM(L51:L57)</f>
        <v>0</v>
      </c>
      <c r="M58" s="113"/>
      <c r="N58" s="72"/>
      <c r="P58" s="761"/>
      <c r="Q58" s="762"/>
      <c r="R58" s="762"/>
      <c r="S58" s="762"/>
      <c r="T58" s="762"/>
      <c r="U58" s="762"/>
      <c r="V58" s="762"/>
      <c r="W58" s="762"/>
      <c r="X58" s="762"/>
      <c r="Y58" s="762"/>
      <c r="Z58" s="762"/>
      <c r="AA58" s="762"/>
      <c r="AB58" s="762"/>
      <c r="AC58" s="763"/>
    </row>
    <row r="59" spans="2:29" ht="23.1" customHeight="1">
      <c r="B59" s="80"/>
      <c r="C59" s="107"/>
      <c r="D59" s="107"/>
      <c r="E59" s="108"/>
      <c r="F59" s="108"/>
      <c r="G59" s="108"/>
      <c r="H59" s="108"/>
      <c r="I59" s="108"/>
      <c r="J59" s="108"/>
      <c r="K59" s="108"/>
      <c r="L59" s="108"/>
      <c r="M59" s="108"/>
      <c r="N59" s="72"/>
      <c r="P59" s="761"/>
      <c r="Q59" s="762"/>
      <c r="R59" s="762"/>
      <c r="S59" s="762"/>
      <c r="T59" s="762"/>
      <c r="U59" s="762"/>
      <c r="V59" s="762"/>
      <c r="W59" s="762"/>
      <c r="X59" s="762"/>
      <c r="Y59" s="762"/>
      <c r="Z59" s="762"/>
      <c r="AA59" s="762"/>
      <c r="AB59" s="762"/>
      <c r="AC59" s="763"/>
    </row>
    <row r="60" spans="2:29" ht="23.1" customHeight="1">
      <c r="B60" s="80"/>
      <c r="C60" s="117" t="s">
        <v>317</v>
      </c>
      <c r="D60" s="115"/>
      <c r="E60" s="116"/>
      <c r="F60" s="116"/>
      <c r="G60" s="116"/>
      <c r="H60" s="116"/>
      <c r="I60" s="116"/>
      <c r="J60" s="116"/>
      <c r="K60" s="116"/>
      <c r="L60" s="116"/>
      <c r="M60" s="64"/>
      <c r="N60" s="72"/>
      <c r="P60" s="761"/>
      <c r="Q60" s="762"/>
      <c r="R60" s="762"/>
      <c r="S60" s="762"/>
      <c r="T60" s="762"/>
      <c r="U60" s="762"/>
      <c r="V60" s="762"/>
      <c r="W60" s="762"/>
      <c r="X60" s="762"/>
      <c r="Y60" s="762"/>
      <c r="Z60" s="762"/>
      <c r="AA60" s="762"/>
      <c r="AB60" s="762"/>
      <c r="AC60" s="763"/>
    </row>
    <row r="61" spans="2:29" ht="18">
      <c r="B61" s="80"/>
      <c r="C61" s="115" t="s">
        <v>837</v>
      </c>
      <c r="D61" s="115"/>
      <c r="E61" s="116"/>
      <c r="F61" s="116"/>
      <c r="G61" s="116"/>
      <c r="H61" s="116"/>
      <c r="I61" s="116"/>
      <c r="J61" s="116"/>
      <c r="K61" s="116"/>
      <c r="L61" s="116"/>
      <c r="M61" s="64"/>
      <c r="N61" s="72"/>
      <c r="P61" s="761"/>
      <c r="Q61" s="762"/>
      <c r="R61" s="762"/>
      <c r="S61" s="762"/>
      <c r="T61" s="762"/>
      <c r="U61" s="762"/>
      <c r="V61" s="762"/>
      <c r="W61" s="762"/>
      <c r="X61" s="762"/>
      <c r="Y61" s="762"/>
      <c r="Z61" s="762"/>
      <c r="AA61" s="762"/>
      <c r="AB61" s="762"/>
      <c r="AC61" s="763"/>
    </row>
    <row r="62" spans="2:29" ht="18">
      <c r="B62" s="80"/>
      <c r="C62" s="115" t="s">
        <v>838</v>
      </c>
      <c r="D62" s="115"/>
      <c r="E62" s="116"/>
      <c r="F62" s="116"/>
      <c r="G62" s="116"/>
      <c r="H62" s="116"/>
      <c r="I62" s="116"/>
      <c r="J62" s="116"/>
      <c r="K62" s="116"/>
      <c r="L62" s="116"/>
      <c r="M62" s="64"/>
      <c r="N62" s="72"/>
      <c r="P62" s="761"/>
      <c r="Q62" s="762"/>
      <c r="R62" s="762"/>
      <c r="S62" s="762"/>
      <c r="T62" s="762"/>
      <c r="U62" s="762"/>
      <c r="V62" s="762"/>
      <c r="W62" s="762"/>
      <c r="X62" s="762"/>
      <c r="Y62" s="762"/>
      <c r="Z62" s="762"/>
      <c r="AA62" s="762"/>
      <c r="AB62" s="762"/>
      <c r="AC62" s="763"/>
    </row>
    <row r="63" spans="2:29" ht="18">
      <c r="B63" s="80"/>
      <c r="C63" s="115" t="s">
        <v>839</v>
      </c>
      <c r="D63" s="115"/>
      <c r="E63" s="116"/>
      <c r="F63" s="116"/>
      <c r="G63" s="116"/>
      <c r="H63" s="116"/>
      <c r="I63" s="116"/>
      <c r="J63" s="116"/>
      <c r="K63" s="116"/>
      <c r="L63" s="116"/>
      <c r="M63" s="64"/>
      <c r="N63" s="72"/>
      <c r="P63" s="761"/>
      <c r="Q63" s="762"/>
      <c r="R63" s="762"/>
      <c r="S63" s="762"/>
      <c r="T63" s="762"/>
      <c r="U63" s="762"/>
      <c r="V63" s="762"/>
      <c r="W63" s="762"/>
      <c r="X63" s="762"/>
      <c r="Y63" s="762"/>
      <c r="Z63" s="762"/>
      <c r="AA63" s="762"/>
      <c r="AB63" s="762"/>
      <c r="AC63" s="763"/>
    </row>
    <row r="64" spans="2:29" ht="18">
      <c r="B64" s="80"/>
      <c r="C64" s="115" t="s">
        <v>840</v>
      </c>
      <c r="D64" s="115"/>
      <c r="E64" s="116"/>
      <c r="F64" s="116"/>
      <c r="G64" s="116"/>
      <c r="H64" s="116"/>
      <c r="I64" s="116"/>
      <c r="J64" s="116"/>
      <c r="K64" s="116"/>
      <c r="L64" s="116"/>
      <c r="M64" s="64"/>
      <c r="N64" s="72"/>
      <c r="P64" s="761"/>
      <c r="Q64" s="762"/>
      <c r="R64" s="762"/>
      <c r="S64" s="762"/>
      <c r="T64" s="762"/>
      <c r="U64" s="762"/>
      <c r="V64" s="762"/>
      <c r="W64" s="762"/>
      <c r="X64" s="762"/>
      <c r="Y64" s="762"/>
      <c r="Z64" s="762"/>
      <c r="AA64" s="762"/>
      <c r="AB64" s="762"/>
      <c r="AC64" s="763"/>
    </row>
    <row r="65" spans="2:29" ht="18">
      <c r="B65" s="80"/>
      <c r="C65" s="115" t="s">
        <v>841</v>
      </c>
      <c r="D65" s="115"/>
      <c r="E65" s="116"/>
      <c r="F65" s="116"/>
      <c r="G65" s="116"/>
      <c r="H65" s="116"/>
      <c r="I65" s="116"/>
      <c r="J65" s="116"/>
      <c r="K65" s="116"/>
      <c r="L65" s="116"/>
      <c r="M65" s="64"/>
      <c r="N65" s="72"/>
      <c r="P65" s="761"/>
      <c r="Q65" s="762"/>
      <c r="R65" s="762"/>
      <c r="S65" s="762"/>
      <c r="T65" s="762"/>
      <c r="U65" s="762"/>
      <c r="V65" s="762"/>
      <c r="W65" s="762"/>
      <c r="X65" s="762"/>
      <c r="Y65" s="762"/>
      <c r="Z65" s="762"/>
      <c r="AA65" s="762"/>
      <c r="AB65" s="762"/>
      <c r="AC65" s="763"/>
    </row>
    <row r="66" spans="2:29" ht="18">
      <c r="B66" s="80"/>
      <c r="C66" s="115" t="s">
        <v>842</v>
      </c>
      <c r="D66" s="115"/>
      <c r="E66" s="116"/>
      <c r="F66" s="116"/>
      <c r="G66" s="116"/>
      <c r="H66" s="116"/>
      <c r="I66" s="116"/>
      <c r="J66" s="116"/>
      <c r="K66" s="116"/>
      <c r="L66" s="116"/>
      <c r="M66" s="64"/>
      <c r="N66" s="72"/>
      <c r="P66" s="761"/>
      <c r="Q66" s="762"/>
      <c r="R66" s="762"/>
      <c r="S66" s="762"/>
      <c r="T66" s="762"/>
      <c r="U66" s="762"/>
      <c r="V66" s="762"/>
      <c r="W66" s="762"/>
      <c r="X66" s="762"/>
      <c r="Y66" s="762"/>
      <c r="Z66" s="762"/>
      <c r="AA66" s="762"/>
      <c r="AB66" s="762"/>
      <c r="AC66" s="763"/>
    </row>
    <row r="67" spans="2:29" ht="18">
      <c r="B67" s="80"/>
      <c r="C67" s="115" t="s">
        <v>843</v>
      </c>
      <c r="D67" s="115"/>
      <c r="E67" s="116"/>
      <c r="F67" s="116"/>
      <c r="G67" s="116"/>
      <c r="H67" s="116"/>
      <c r="I67" s="116"/>
      <c r="J67" s="116"/>
      <c r="K67" s="116"/>
      <c r="L67" s="116"/>
      <c r="M67" s="64"/>
      <c r="N67" s="72"/>
      <c r="P67" s="761"/>
      <c r="Q67" s="762"/>
      <c r="R67" s="762"/>
      <c r="S67" s="762"/>
      <c r="T67" s="762"/>
      <c r="U67" s="762"/>
      <c r="V67" s="762"/>
      <c r="W67" s="762"/>
      <c r="X67" s="762"/>
      <c r="Y67" s="762"/>
      <c r="Z67" s="762"/>
      <c r="AA67" s="762"/>
      <c r="AB67" s="762"/>
      <c r="AC67" s="763"/>
    </row>
    <row r="68" spans="2:29" ht="18">
      <c r="B68" s="80"/>
      <c r="C68" s="115" t="s">
        <v>844</v>
      </c>
      <c r="D68" s="115"/>
      <c r="E68" s="116"/>
      <c r="F68" s="116"/>
      <c r="G68" s="116"/>
      <c r="H68" s="116"/>
      <c r="I68" s="116"/>
      <c r="J68" s="116"/>
      <c r="K68" s="116"/>
      <c r="L68" s="116"/>
      <c r="M68" s="64"/>
      <c r="N68" s="72"/>
      <c r="P68" s="761"/>
      <c r="Q68" s="762"/>
      <c r="R68" s="762"/>
      <c r="S68" s="762"/>
      <c r="T68" s="762"/>
      <c r="U68" s="762"/>
      <c r="V68" s="762"/>
      <c r="W68" s="762"/>
      <c r="X68" s="762"/>
      <c r="Y68" s="762"/>
      <c r="Z68" s="762"/>
      <c r="AA68" s="762"/>
      <c r="AB68" s="762"/>
      <c r="AC68" s="763"/>
    </row>
    <row r="69" spans="2:29" ht="18">
      <c r="B69" s="80"/>
      <c r="C69" s="115" t="s">
        <v>845</v>
      </c>
      <c r="D69" s="115"/>
      <c r="E69" s="116"/>
      <c r="F69" s="116"/>
      <c r="G69" s="116"/>
      <c r="H69" s="116"/>
      <c r="I69" s="116"/>
      <c r="J69" s="116"/>
      <c r="K69" s="116"/>
      <c r="L69" s="116"/>
      <c r="M69" s="64"/>
      <c r="N69" s="72"/>
      <c r="P69" s="761"/>
      <c r="Q69" s="762"/>
      <c r="R69" s="762"/>
      <c r="S69" s="762"/>
      <c r="T69" s="762"/>
      <c r="U69" s="762"/>
      <c r="V69" s="762"/>
      <c r="W69" s="762"/>
      <c r="X69" s="762"/>
      <c r="Y69" s="762"/>
      <c r="Z69" s="762"/>
      <c r="AA69" s="762"/>
      <c r="AB69" s="762"/>
      <c r="AC69" s="763"/>
    </row>
    <row r="70" spans="2:29" ht="18">
      <c r="B70" s="80"/>
      <c r="C70" s="115" t="s">
        <v>846</v>
      </c>
      <c r="D70" s="115"/>
      <c r="E70" s="116"/>
      <c r="F70" s="116"/>
      <c r="G70" s="116"/>
      <c r="H70" s="116"/>
      <c r="I70" s="116"/>
      <c r="J70" s="116"/>
      <c r="K70" s="116"/>
      <c r="L70" s="116"/>
      <c r="M70" s="64"/>
      <c r="N70" s="72"/>
      <c r="P70" s="761"/>
      <c r="Q70" s="762"/>
      <c r="R70" s="762"/>
      <c r="S70" s="762"/>
      <c r="T70" s="762"/>
      <c r="U70" s="762"/>
      <c r="V70" s="762"/>
      <c r="W70" s="762"/>
      <c r="X70" s="762"/>
      <c r="Y70" s="762"/>
      <c r="Z70" s="762"/>
      <c r="AA70" s="762"/>
      <c r="AB70" s="762"/>
      <c r="AC70" s="763"/>
    </row>
    <row r="71" spans="2:29" ht="23.1" customHeight="1" thickBot="1">
      <c r="B71" s="83"/>
      <c r="C71" s="1228"/>
      <c r="D71" s="1228"/>
      <c r="E71" s="1228"/>
      <c r="F71" s="1228"/>
      <c r="G71" s="33"/>
      <c r="H71" s="33"/>
      <c r="I71" s="33"/>
      <c r="J71" s="33"/>
      <c r="K71" s="33"/>
      <c r="L71" s="33"/>
      <c r="M71" s="84"/>
      <c r="N71" s="85"/>
      <c r="P71" s="764"/>
      <c r="Q71" s="765"/>
      <c r="R71" s="765"/>
      <c r="S71" s="765"/>
      <c r="T71" s="765"/>
      <c r="U71" s="765"/>
      <c r="V71" s="765"/>
      <c r="W71" s="765"/>
      <c r="X71" s="765"/>
      <c r="Y71" s="765"/>
      <c r="Z71" s="765"/>
      <c r="AA71" s="765"/>
      <c r="AB71" s="765"/>
      <c r="AC71" s="766"/>
    </row>
    <row r="72" spans="2:29" ht="23.1" customHeight="1">
      <c r="O72" s="65" t="s">
        <v>248</v>
      </c>
    </row>
    <row r="73" spans="2:29" ht="12.75">
      <c r="C73" s="86" t="s">
        <v>98</v>
      </c>
      <c r="M73" s="63" t="s">
        <v>847</v>
      </c>
    </row>
    <row r="74" spans="2:29" ht="12.75">
      <c r="C74" s="86" t="s">
        <v>100</v>
      </c>
    </row>
    <row r="75" spans="2:29" ht="12.75">
      <c r="C75" s="86" t="s">
        <v>101</v>
      </c>
    </row>
    <row r="76" spans="2:29" ht="12.75">
      <c r="C76" s="86" t="s">
        <v>102</v>
      </c>
    </row>
    <row r="77" spans="2:29" ht="12.75">
      <c r="C77" s="86" t="s">
        <v>103</v>
      </c>
    </row>
  </sheetData>
  <sheetProtection sheet="1" insertRows="0"/>
  <mergeCells count="12">
    <mergeCell ref="C41:M41"/>
    <mergeCell ref="C50:M50"/>
    <mergeCell ref="M6:M7"/>
    <mergeCell ref="D9:M9"/>
    <mergeCell ref="C12:D12"/>
    <mergeCell ref="M15:M16"/>
    <mergeCell ref="C71:F71"/>
    <mergeCell ref="G15:I15"/>
    <mergeCell ref="C17:M17"/>
    <mergeCell ref="C26:M26"/>
    <mergeCell ref="G39:I39"/>
    <mergeCell ref="M39:M40"/>
  </mergeCells>
  <phoneticPr fontId="5" type="noConversion"/>
  <printOptions horizontalCentered="1" verticalCentered="1"/>
  <pageMargins left="0.35629921259842523" right="0.35629921259842523" top="0.60629921259842523" bottom="0.60629921259842523" header="0.5" footer="0.5"/>
  <pageSetup paperSize="9" scale="44" orientation="portrait" horizontalDpi="4294967292" verticalDpi="4294967292" r:id="rId1"/>
  <drawing r:id="rId2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D1F9BE3-FAD8-4125-A76B-5D0CD76C2FDA}">
  <sheetPr codeName="Hoja14">
    <pageSetUpPr fitToPage="1"/>
  </sheetPr>
  <dimension ref="A2:AH145"/>
  <sheetViews>
    <sheetView topLeftCell="A86" zoomScaleNormal="100" zoomScalePageLayoutView="125" workbookViewId="0">
      <selection activeCell="H48" sqref="H48"/>
    </sheetView>
  </sheetViews>
  <sheetFormatPr baseColWidth="10" defaultColWidth="10.6640625" defaultRowHeight="23.1" customHeight="1"/>
  <cols>
    <col min="1" max="1" width="4.109375" style="65" bestFit="1" customWidth="1"/>
    <col min="2" max="2" width="3.109375" style="65" customWidth="1"/>
    <col min="3" max="3" width="13.5546875" style="65" customWidth="1"/>
    <col min="4" max="4" width="31.6640625" style="65" customWidth="1"/>
    <col min="5" max="5" width="21.6640625" style="66" customWidth="1"/>
    <col min="6" max="6" width="10" style="66" customWidth="1"/>
    <col min="7" max="13" width="15.109375" style="66" customWidth="1"/>
    <col min="14" max="14" width="12.44140625" style="66" customWidth="1"/>
    <col min="15" max="17" width="9.6640625" style="66" customWidth="1"/>
    <col min="18" max="18" width="12.5546875" style="66" customWidth="1"/>
    <col min="19" max="19" width="6.33203125" style="65" customWidth="1"/>
    <col min="20" max="20" width="3.44140625" style="65" customWidth="1"/>
    <col min="21" max="22" width="10.6640625" style="65"/>
    <col min="23" max="24" width="13.33203125" style="65" customWidth="1"/>
    <col min="25" max="16384" width="10.6640625" style="65"/>
  </cols>
  <sheetData>
    <row r="2" spans="1:34" ht="23.1" customHeight="1">
      <c r="D2" s="391" t="str">
        <f>_GENERAL!D2</f>
        <v>Área de la Presidenta: Igualdad y Diversidad, Hacienda y Proyectos Estratégicos</v>
      </c>
    </row>
    <row r="3" spans="1:34" ht="23.1" customHeight="1">
      <c r="D3" s="391" t="str">
        <f>_GENERAL!D3</f>
        <v>Dirección Insular de Hacienda</v>
      </c>
    </row>
    <row r="4" spans="1:34" ht="23.1" customHeight="1" thickBot="1">
      <c r="A4" s="65" t="s">
        <v>195</v>
      </c>
    </row>
    <row r="5" spans="1:34" ht="9" customHeight="1">
      <c r="B5" s="67"/>
      <c r="C5" s="68"/>
      <c r="D5" s="68"/>
      <c r="E5" s="69"/>
      <c r="F5" s="69"/>
      <c r="G5" s="69"/>
      <c r="H5" s="69"/>
      <c r="I5" s="69"/>
      <c r="J5" s="69"/>
      <c r="K5" s="69"/>
      <c r="L5" s="69"/>
      <c r="M5" s="69"/>
      <c r="N5" s="69"/>
      <c r="O5" s="69"/>
      <c r="P5" s="69"/>
      <c r="Q5" s="69"/>
      <c r="R5" s="69"/>
      <c r="S5" s="70"/>
      <c r="U5" s="746"/>
      <c r="V5" s="747"/>
      <c r="W5" s="747"/>
      <c r="X5" s="747"/>
      <c r="Y5" s="747"/>
      <c r="Z5" s="747"/>
      <c r="AA5" s="747"/>
      <c r="AB5" s="747"/>
      <c r="AC5" s="747"/>
      <c r="AD5" s="747"/>
      <c r="AE5" s="747"/>
      <c r="AF5" s="747"/>
      <c r="AG5" s="747"/>
      <c r="AH5" s="744"/>
    </row>
    <row r="6" spans="1:34" ht="30" customHeight="1">
      <c r="B6" s="71"/>
      <c r="C6" s="40" t="s">
        <v>2</v>
      </c>
      <c r="Q6" s="1212">
        <f>ejercicio</f>
        <v>2025</v>
      </c>
      <c r="R6" s="642"/>
      <c r="S6" s="72"/>
      <c r="U6" s="754"/>
      <c r="V6" s="755" t="s">
        <v>196</v>
      </c>
      <c r="W6" s="756"/>
      <c r="X6" s="756"/>
      <c r="Y6" s="756"/>
      <c r="Z6" s="756"/>
      <c r="AA6" s="756"/>
      <c r="AB6" s="756"/>
      <c r="AC6" s="756"/>
      <c r="AD6" s="756"/>
      <c r="AE6" s="756"/>
      <c r="AF6" s="756"/>
      <c r="AG6" s="756"/>
      <c r="AH6" s="255"/>
    </row>
    <row r="7" spans="1:34" ht="30" customHeight="1">
      <c r="B7" s="71"/>
      <c r="C7" s="40" t="s">
        <v>3</v>
      </c>
      <c r="Q7" s="1212"/>
      <c r="R7" s="642"/>
      <c r="S7" s="72"/>
      <c r="U7" s="751"/>
      <c r="V7" s="752"/>
      <c r="W7" s="752"/>
      <c r="X7" s="752"/>
      <c r="Y7" s="752"/>
      <c r="Z7" s="752"/>
      <c r="AA7" s="752"/>
      <c r="AB7" s="752"/>
      <c r="AC7" s="752"/>
      <c r="AD7" s="752"/>
      <c r="AE7" s="752"/>
      <c r="AF7" s="752"/>
      <c r="AG7" s="752"/>
      <c r="AH7" s="753"/>
    </row>
    <row r="8" spans="1:34" ht="30" customHeight="1">
      <c r="B8" s="71"/>
      <c r="C8" s="73"/>
      <c r="P8" s="74"/>
      <c r="Q8" s="74"/>
      <c r="R8" s="74"/>
      <c r="S8" s="72"/>
      <c r="U8" s="751"/>
      <c r="V8" s="752"/>
      <c r="W8" s="797"/>
      <c r="X8" s="797"/>
      <c r="Y8" s="796"/>
      <c r="Z8" s="752"/>
      <c r="AA8" s="752"/>
      <c r="AB8" s="752"/>
      <c r="AC8" s="752"/>
      <c r="AD8" s="752"/>
      <c r="AE8" s="752"/>
      <c r="AF8" s="752"/>
      <c r="AG8" s="752"/>
      <c r="AH8" s="753"/>
    </row>
    <row r="9" spans="1:34" s="128" customFormat="1" ht="30" customHeight="1">
      <c r="A9" s="877"/>
      <c r="B9" s="905"/>
      <c r="C9" s="21" t="s">
        <v>105</v>
      </c>
      <c r="D9" s="1229" t="str">
        <f>Entidad</f>
        <v>(MERCATENERIFE) Mercados Centrales de Abastecimiento de Tenerife, S.A.</v>
      </c>
      <c r="E9" s="1229"/>
      <c r="F9" s="1229"/>
      <c r="G9" s="1229"/>
      <c r="H9" s="1229"/>
      <c r="I9" s="1229"/>
      <c r="J9" s="1229"/>
      <c r="K9" s="1229"/>
      <c r="L9" s="1229"/>
      <c r="M9" s="1229"/>
      <c r="N9" s="1229"/>
      <c r="O9" s="1229"/>
      <c r="P9" s="1229"/>
      <c r="Q9" s="1229"/>
      <c r="R9" s="1229"/>
      <c r="S9" s="904"/>
      <c r="T9" s="877"/>
      <c r="U9" s="751"/>
      <c r="V9" s="752"/>
      <c r="W9" s="797"/>
      <c r="X9" s="797"/>
      <c r="Y9" s="796"/>
      <c r="Z9" s="752"/>
      <c r="AA9" s="752"/>
      <c r="AB9" s="752"/>
      <c r="AC9" s="752"/>
      <c r="AD9" s="752"/>
      <c r="AE9" s="752"/>
      <c r="AF9" s="752"/>
      <c r="AG9" s="752"/>
      <c r="AH9" s="753"/>
    </row>
    <row r="10" spans="1:34" ht="6.95" customHeight="1">
      <c r="B10" s="71"/>
      <c r="S10" s="72"/>
      <c r="U10" s="751"/>
      <c r="V10" s="752"/>
      <c r="W10" s="797"/>
      <c r="X10" s="797"/>
      <c r="Y10" s="796"/>
      <c r="Z10" s="752"/>
      <c r="AA10" s="752"/>
      <c r="AB10" s="752"/>
      <c r="AC10" s="752"/>
      <c r="AD10" s="752"/>
      <c r="AE10" s="752"/>
      <c r="AF10" s="752"/>
      <c r="AG10" s="752"/>
      <c r="AH10" s="753"/>
    </row>
    <row r="11" spans="1:34" s="79" customFormat="1" ht="30" customHeight="1">
      <c r="B11" s="75"/>
      <c r="C11" s="76" t="s">
        <v>848</v>
      </c>
      <c r="D11" s="76"/>
      <c r="E11" s="77"/>
      <c r="F11" s="77"/>
      <c r="G11" s="77"/>
      <c r="H11" s="77"/>
      <c r="I11" s="77"/>
      <c r="J11" s="77"/>
      <c r="K11" s="77"/>
      <c r="L11" s="77"/>
      <c r="M11" s="77"/>
      <c r="N11" s="77"/>
      <c r="O11" s="77"/>
      <c r="P11" s="77"/>
      <c r="Q11" s="77"/>
      <c r="R11" s="77"/>
      <c r="S11" s="78"/>
      <c r="U11" s="751"/>
      <c r="V11" s="752"/>
      <c r="W11" s="797"/>
      <c r="X11" s="797"/>
      <c r="Y11" s="796"/>
      <c r="Z11" s="752"/>
      <c r="AA11" s="752"/>
      <c r="AB11" s="752"/>
      <c r="AC11" s="752"/>
      <c r="AD11" s="752"/>
      <c r="AE11" s="752"/>
      <c r="AF11" s="752"/>
      <c r="AG11" s="752"/>
      <c r="AH11" s="753"/>
    </row>
    <row r="12" spans="1:34" s="79" customFormat="1" ht="30" customHeight="1">
      <c r="B12" s="75"/>
      <c r="C12" s="1237"/>
      <c r="D12" s="1237"/>
      <c r="E12" s="64"/>
      <c r="F12" s="64"/>
      <c r="G12" s="64"/>
      <c r="H12" s="64"/>
      <c r="I12" s="64"/>
      <c r="J12" s="64"/>
      <c r="K12" s="64"/>
      <c r="L12" s="64"/>
      <c r="M12" s="64"/>
      <c r="N12" s="64"/>
      <c r="O12" s="64"/>
      <c r="P12" s="64"/>
      <c r="Q12" s="64"/>
      <c r="R12" s="64"/>
      <c r="S12" s="78"/>
      <c r="U12" s="751"/>
      <c r="V12" s="752"/>
      <c r="W12" s="797"/>
      <c r="X12" s="797"/>
      <c r="Y12" s="796"/>
      <c r="Z12" s="752"/>
      <c r="AA12" s="752"/>
      <c r="AB12" s="752"/>
      <c r="AC12" s="752"/>
      <c r="AD12" s="752"/>
      <c r="AE12" s="752"/>
      <c r="AF12" s="752"/>
      <c r="AG12" s="752"/>
      <c r="AH12" s="753"/>
    </row>
    <row r="13" spans="1:34" s="79" customFormat="1" ht="30" customHeight="1">
      <c r="B13" s="75"/>
      <c r="C13" s="38" t="s">
        <v>849</v>
      </c>
      <c r="D13" s="8"/>
      <c r="E13" s="64"/>
      <c r="F13" s="64"/>
      <c r="G13" s="64"/>
      <c r="H13" s="64"/>
      <c r="I13" s="64"/>
      <c r="J13" s="64"/>
      <c r="K13" s="64"/>
      <c r="L13" s="64"/>
      <c r="M13" s="64"/>
      <c r="N13" s="64"/>
      <c r="O13" s="64"/>
      <c r="P13" s="64"/>
      <c r="Q13" s="64"/>
      <c r="R13" s="64"/>
      <c r="S13" s="78"/>
      <c r="U13" s="751"/>
      <c r="V13" s="752"/>
      <c r="W13" s="797"/>
      <c r="X13" s="797"/>
      <c r="Y13" s="796"/>
      <c r="Z13" s="752"/>
      <c r="AA13" s="752"/>
      <c r="AB13" s="752"/>
      <c r="AC13" s="752"/>
      <c r="AD13" s="752"/>
      <c r="AE13" s="752"/>
      <c r="AF13" s="752"/>
      <c r="AG13" s="752"/>
      <c r="AH13" s="753"/>
    </row>
    <row r="14" spans="1:34" s="79" customFormat="1" ht="30" customHeight="1">
      <c r="B14" s="75"/>
      <c r="C14" s="8" t="s">
        <v>850</v>
      </c>
      <c r="D14" s="8"/>
      <c r="E14" s="64"/>
      <c r="F14" s="64"/>
      <c r="G14" s="64"/>
      <c r="H14" s="64"/>
      <c r="I14" s="64"/>
      <c r="J14" s="64"/>
      <c r="K14" s="64"/>
      <c r="L14" s="64"/>
      <c r="M14" s="64"/>
      <c r="N14" s="64"/>
      <c r="O14" s="64"/>
      <c r="P14" s="64"/>
      <c r="Q14" s="64"/>
      <c r="R14" s="64"/>
      <c r="S14" s="78"/>
      <c r="U14" s="751"/>
      <c r="V14" s="752"/>
      <c r="W14" s="797"/>
      <c r="X14" s="797"/>
      <c r="Y14" s="796"/>
      <c r="Z14" s="752"/>
      <c r="AA14" s="752"/>
      <c r="AB14" s="752"/>
      <c r="AC14" s="752"/>
      <c r="AD14" s="752"/>
      <c r="AE14" s="752"/>
      <c r="AF14" s="752"/>
      <c r="AG14" s="752"/>
      <c r="AH14" s="753"/>
    </row>
    <row r="15" spans="1:34" s="79" customFormat="1" ht="30" customHeight="1">
      <c r="B15" s="75"/>
      <c r="C15" s="1369"/>
      <c r="D15" s="1370"/>
      <c r="E15" s="1377" t="s">
        <v>851</v>
      </c>
      <c r="F15" s="1381"/>
      <c r="G15" s="1378" t="s">
        <v>852</v>
      </c>
      <c r="H15" s="1379"/>
      <c r="I15" s="1379"/>
      <c r="J15" s="1379"/>
      <c r="K15" s="1379"/>
      <c r="L15" s="1380"/>
      <c r="M15" s="1384" t="s">
        <v>853</v>
      </c>
      <c r="N15" s="1367"/>
      <c r="O15" s="385"/>
      <c r="P15" s="385"/>
      <c r="Q15" s="385"/>
      <c r="R15" s="385"/>
      <c r="S15" s="78"/>
      <c r="U15" s="751"/>
      <c r="V15" s="752"/>
      <c r="W15" s="797"/>
      <c r="X15" s="797"/>
      <c r="Y15" s="796"/>
      <c r="Z15" s="752"/>
      <c r="AA15" s="752"/>
      <c r="AB15" s="752"/>
      <c r="AC15" s="752"/>
      <c r="AD15" s="752"/>
      <c r="AE15" s="752"/>
      <c r="AF15" s="752"/>
      <c r="AG15" s="752"/>
      <c r="AH15" s="753"/>
    </row>
    <row r="16" spans="1:34" s="383" customFormat="1" ht="36" customHeight="1">
      <c r="B16" s="384"/>
      <c r="C16" s="1371" t="s">
        <v>854</v>
      </c>
      <c r="D16" s="1372"/>
      <c r="E16" s="1360" t="s">
        <v>855</v>
      </c>
      <c r="F16" s="1361"/>
      <c r="G16" s="404" t="s">
        <v>856</v>
      </c>
      <c r="H16" s="1364">
        <f>ejercicio-1</f>
        <v>2024</v>
      </c>
      <c r="I16" s="1380"/>
      <c r="J16" s="405" t="s">
        <v>856</v>
      </c>
      <c r="K16" s="1364">
        <f>ejercicio</f>
        <v>2025</v>
      </c>
      <c r="L16" s="1380"/>
      <c r="M16" s="1358" t="s">
        <v>857</v>
      </c>
      <c r="N16" s="1359"/>
      <c r="O16" s="388"/>
      <c r="P16" s="388"/>
      <c r="Q16" s="388"/>
      <c r="R16" s="388" t="s">
        <v>858</v>
      </c>
      <c r="S16" s="387"/>
      <c r="U16" s="761"/>
      <c r="V16" s="752"/>
      <c r="W16" s="797"/>
      <c r="X16" s="797"/>
      <c r="Y16" s="796"/>
      <c r="Z16" s="752"/>
      <c r="AA16" s="752"/>
      <c r="AB16" s="752"/>
      <c r="AC16" s="752"/>
      <c r="AD16" s="752"/>
      <c r="AE16" s="752"/>
      <c r="AF16" s="752"/>
      <c r="AG16" s="752"/>
      <c r="AH16" s="763"/>
    </row>
    <row r="17" spans="1:34" s="110" customFormat="1" ht="23.1" customHeight="1">
      <c r="A17" s="906"/>
      <c r="B17" s="1014"/>
      <c r="C17" s="1375" t="s">
        <v>859</v>
      </c>
      <c r="D17" s="1376"/>
      <c r="E17" s="1362"/>
      <c r="F17" s="1363"/>
      <c r="G17" s="397">
        <f>ejercicio-1</f>
        <v>2024</v>
      </c>
      <c r="H17" s="798" t="s">
        <v>860</v>
      </c>
      <c r="I17" s="799" t="s">
        <v>861</v>
      </c>
      <c r="J17" s="398">
        <f>ejercicio</f>
        <v>2025</v>
      </c>
      <c r="K17" s="798" t="s">
        <v>860</v>
      </c>
      <c r="L17" s="799" t="s">
        <v>861</v>
      </c>
      <c r="M17" s="396">
        <f>ejercicio-1</f>
        <v>2024</v>
      </c>
      <c r="N17" s="386">
        <f>ejercicio</f>
        <v>2025</v>
      </c>
      <c r="O17" s="386" t="s">
        <v>862</v>
      </c>
      <c r="P17" s="386" t="s">
        <v>863</v>
      </c>
      <c r="Q17" s="386" t="s">
        <v>864</v>
      </c>
      <c r="R17" s="386" t="s">
        <v>865</v>
      </c>
      <c r="S17" s="1015"/>
      <c r="T17" s="906"/>
      <c r="U17" s="761"/>
      <c r="V17" s="752"/>
      <c r="W17" s="797"/>
      <c r="X17" s="797"/>
      <c r="Y17" s="796"/>
      <c r="Z17" s="752"/>
      <c r="AA17" s="752"/>
      <c r="AB17" s="752"/>
      <c r="AC17" s="752"/>
      <c r="AD17" s="752"/>
      <c r="AE17" s="752"/>
      <c r="AF17" s="752"/>
      <c r="AG17" s="752"/>
      <c r="AH17" s="763"/>
    </row>
    <row r="18" spans="1:34" s="128" customFormat="1" ht="8.1" customHeight="1">
      <c r="A18" s="877"/>
      <c r="B18" s="905"/>
      <c r="C18" s="40"/>
      <c r="D18" s="40"/>
      <c r="E18" s="40"/>
      <c r="F18" s="40"/>
      <c r="G18" s="40"/>
      <c r="H18" s="40"/>
      <c r="I18" s="40"/>
      <c r="J18" s="40"/>
      <c r="K18" s="40"/>
      <c r="L18" s="40"/>
      <c r="M18" s="40"/>
      <c r="N18" s="127"/>
      <c r="O18" s="127"/>
      <c r="P18" s="127"/>
      <c r="Q18" s="127"/>
      <c r="R18" s="127"/>
      <c r="S18" s="904"/>
      <c r="T18" s="877"/>
      <c r="U18" s="751"/>
      <c r="V18" s="752"/>
      <c r="W18" s="797"/>
      <c r="X18" s="797"/>
      <c r="Y18" s="796"/>
      <c r="Z18" s="752"/>
      <c r="AA18" s="752"/>
      <c r="AB18" s="752"/>
      <c r="AC18" s="752"/>
      <c r="AD18" s="752"/>
      <c r="AE18" s="752"/>
      <c r="AF18" s="752"/>
      <c r="AG18" s="752"/>
      <c r="AH18" s="753"/>
    </row>
    <row r="19" spans="1:34" s="17" customFormat="1" ht="23.1" customHeight="1">
      <c r="A19" s="877"/>
      <c r="B19" s="905"/>
      <c r="C19" s="306" t="s">
        <v>818</v>
      </c>
      <c r="D19" s="663"/>
      <c r="E19" s="663"/>
      <c r="F19" s="663"/>
      <c r="G19" s="401">
        <f>H19+I19</f>
        <v>240310.01</v>
      </c>
      <c r="H19" s="285">
        <v>237930.81</v>
      </c>
      <c r="I19" s="400">
        <v>2379.1999999999998</v>
      </c>
      <c r="J19" s="401">
        <f>+K19+L19</f>
        <v>220519.37</v>
      </c>
      <c r="K19" s="827">
        <f>H44</f>
        <v>218338.08</v>
      </c>
      <c r="L19" s="828">
        <f>I44</f>
        <v>2181.29</v>
      </c>
      <c r="M19" s="494"/>
      <c r="N19" s="494"/>
      <c r="O19" s="494"/>
      <c r="P19" s="494"/>
      <c r="Q19" s="494"/>
      <c r="R19" s="494"/>
      <c r="S19" s="81"/>
      <c r="U19" s="751"/>
      <c r="V19" s="752"/>
      <c r="W19" s="797"/>
      <c r="X19" s="797"/>
      <c r="Y19" s="796"/>
      <c r="Z19" s="752"/>
      <c r="AA19" s="752"/>
      <c r="AB19" s="752"/>
      <c r="AC19" s="752"/>
      <c r="AD19" s="752"/>
      <c r="AE19" s="752"/>
      <c r="AF19" s="752"/>
      <c r="AG19" s="752"/>
      <c r="AH19" s="753"/>
    </row>
    <row r="20" spans="1:34" s="17" customFormat="1" ht="9" customHeight="1">
      <c r="A20" s="877"/>
      <c r="B20" s="905"/>
      <c r="O20" s="414"/>
      <c r="P20" s="414"/>
      <c r="Q20" s="414"/>
      <c r="R20" s="414"/>
      <c r="S20" s="81"/>
      <c r="U20" s="751"/>
      <c r="V20" s="752"/>
      <c r="W20" s="797"/>
      <c r="X20" s="797"/>
      <c r="Y20" s="796"/>
      <c r="Z20" s="752"/>
      <c r="AA20" s="752"/>
      <c r="AB20" s="752"/>
      <c r="AC20" s="752"/>
      <c r="AD20" s="752"/>
      <c r="AE20" s="752"/>
      <c r="AF20" s="752"/>
      <c r="AG20" s="752"/>
      <c r="AH20" s="753"/>
    </row>
    <row r="21" spans="1:34" s="17" customFormat="1" ht="23.1" customHeight="1">
      <c r="A21" s="877"/>
      <c r="B21" s="905"/>
      <c r="C21" s="1388"/>
      <c r="D21" s="1389"/>
      <c r="E21" s="1142"/>
      <c r="F21" s="1138"/>
      <c r="G21" s="1016">
        <f>H21+I21</f>
        <v>0</v>
      </c>
      <c r="H21" s="648"/>
      <c r="I21" s="649"/>
      <c r="J21" s="1016">
        <f>K21+L21</f>
        <v>0</v>
      </c>
      <c r="K21" s="654"/>
      <c r="L21" s="655"/>
      <c r="M21" s="654"/>
      <c r="N21" s="654"/>
      <c r="O21" s="710"/>
      <c r="P21" s="710"/>
      <c r="Q21" s="710"/>
      <c r="R21" s="808"/>
      <c r="S21" s="81"/>
      <c r="U21" s="751" t="str">
        <f>IF(AND((G21=M21),(J21=N21)),"","----&gt;  Explicar")</f>
        <v/>
      </c>
      <c r="V21" s="752"/>
      <c r="W21" s="797"/>
      <c r="X21" s="797"/>
      <c r="Y21" s="796"/>
      <c r="Z21" s="752"/>
      <c r="AA21" s="752"/>
      <c r="AB21" s="752"/>
      <c r="AC21" s="752"/>
      <c r="AD21" s="752"/>
      <c r="AE21" s="752"/>
      <c r="AF21" s="752"/>
      <c r="AG21" s="752"/>
      <c r="AH21" s="753"/>
    </row>
    <row r="22" spans="1:34" s="17" customFormat="1" ht="23.1" customHeight="1">
      <c r="A22" s="877"/>
      <c r="B22" s="905"/>
      <c r="C22" s="1382"/>
      <c r="D22" s="1383"/>
      <c r="E22" s="1137"/>
      <c r="F22" s="1139"/>
      <c r="G22" s="1017">
        <f t="shared" ref="G22:G40" si="0">H22+I22</f>
        <v>0</v>
      </c>
      <c r="H22" s="650"/>
      <c r="I22" s="651"/>
      <c r="J22" s="1018">
        <f t="shared" ref="J22:J40" si="1">K22+L22</f>
        <v>0</v>
      </c>
      <c r="K22" s="656"/>
      <c r="L22" s="657"/>
      <c r="M22" s="656"/>
      <c r="N22" s="656"/>
      <c r="O22" s="711"/>
      <c r="P22" s="711"/>
      <c r="Q22" s="711"/>
      <c r="R22" s="809"/>
      <c r="S22" s="81"/>
      <c r="U22" s="751" t="str">
        <f t="shared" ref="U22:U40" si="2">IF(AND((G22=M22),(J22=N22)),"","----&gt;  Explicar")</f>
        <v/>
      </c>
      <c r="V22" s="752"/>
      <c r="W22" s="797"/>
      <c r="X22" s="797"/>
      <c r="Y22" s="796"/>
      <c r="Z22" s="752"/>
      <c r="AA22" s="752"/>
      <c r="AB22" s="752"/>
      <c r="AC22" s="752"/>
      <c r="AD22" s="752"/>
      <c r="AE22" s="752"/>
      <c r="AF22" s="752"/>
      <c r="AG22" s="752"/>
      <c r="AH22" s="753"/>
    </row>
    <row r="23" spans="1:34" s="17" customFormat="1" ht="23.1" customHeight="1">
      <c r="A23" s="877"/>
      <c r="B23" s="905"/>
      <c r="C23" s="1382"/>
      <c r="D23" s="1383"/>
      <c r="E23" s="1137"/>
      <c r="F23" s="1139"/>
      <c r="G23" s="1017">
        <f t="shared" si="0"/>
        <v>0</v>
      </c>
      <c r="H23" s="650"/>
      <c r="I23" s="651"/>
      <c r="J23" s="1018">
        <f t="shared" si="1"/>
        <v>0</v>
      </c>
      <c r="K23" s="656"/>
      <c r="L23" s="657"/>
      <c r="M23" s="656"/>
      <c r="N23" s="656"/>
      <c r="O23" s="711"/>
      <c r="P23" s="711"/>
      <c r="Q23" s="711"/>
      <c r="R23" s="809"/>
      <c r="S23" s="81"/>
      <c r="U23" s="751" t="str">
        <f t="shared" si="2"/>
        <v/>
      </c>
      <c r="V23" s="752"/>
      <c r="W23" s="797"/>
      <c r="X23" s="797"/>
      <c r="Y23" s="796"/>
      <c r="Z23" s="752"/>
      <c r="AA23" s="752"/>
      <c r="AB23" s="752"/>
      <c r="AC23" s="752"/>
      <c r="AD23" s="752"/>
      <c r="AE23" s="752"/>
      <c r="AF23" s="752"/>
      <c r="AG23" s="752"/>
      <c r="AH23" s="753"/>
    </row>
    <row r="24" spans="1:34" s="17" customFormat="1" ht="23.1" customHeight="1">
      <c r="A24" s="877"/>
      <c r="B24" s="905"/>
      <c r="C24" s="1382"/>
      <c r="D24" s="1383"/>
      <c r="E24" s="1137"/>
      <c r="F24" s="1139"/>
      <c r="G24" s="1017">
        <f t="shared" si="0"/>
        <v>0</v>
      </c>
      <c r="H24" s="650"/>
      <c r="I24" s="651"/>
      <c r="J24" s="1018">
        <f t="shared" si="1"/>
        <v>0</v>
      </c>
      <c r="K24" s="656"/>
      <c r="L24" s="657"/>
      <c r="M24" s="656"/>
      <c r="N24" s="656"/>
      <c r="O24" s="711"/>
      <c r="P24" s="711"/>
      <c r="Q24" s="711"/>
      <c r="R24" s="809"/>
      <c r="S24" s="81"/>
      <c r="U24" s="751" t="str">
        <f t="shared" si="2"/>
        <v/>
      </c>
      <c r="V24" s="752"/>
      <c r="W24" s="797"/>
      <c r="X24" s="797"/>
      <c r="Y24" s="796"/>
      <c r="Z24" s="752"/>
      <c r="AA24" s="752"/>
      <c r="AB24" s="752"/>
      <c r="AC24" s="752"/>
      <c r="AD24" s="752"/>
      <c r="AE24" s="752"/>
      <c r="AF24" s="752"/>
      <c r="AG24" s="752"/>
      <c r="AH24" s="753"/>
    </row>
    <row r="25" spans="1:34" s="17" customFormat="1" ht="23.1" customHeight="1">
      <c r="A25" s="877"/>
      <c r="B25" s="905"/>
      <c r="C25" s="1382"/>
      <c r="D25" s="1383"/>
      <c r="E25" s="1137"/>
      <c r="F25" s="1139"/>
      <c r="G25" s="1017">
        <f t="shared" si="0"/>
        <v>0</v>
      </c>
      <c r="H25" s="650"/>
      <c r="I25" s="651"/>
      <c r="J25" s="1018">
        <f t="shared" si="1"/>
        <v>0</v>
      </c>
      <c r="K25" s="656"/>
      <c r="L25" s="657"/>
      <c r="M25" s="656"/>
      <c r="N25" s="656"/>
      <c r="O25" s="711"/>
      <c r="P25" s="711"/>
      <c r="Q25" s="711"/>
      <c r="R25" s="809"/>
      <c r="S25" s="81"/>
      <c r="U25" s="751" t="str">
        <f t="shared" si="2"/>
        <v/>
      </c>
      <c r="V25" s="752"/>
      <c r="W25" s="797"/>
      <c r="X25" s="797"/>
      <c r="Y25" s="796"/>
      <c r="Z25" s="752"/>
      <c r="AA25" s="752"/>
      <c r="AB25" s="752"/>
      <c r="AC25" s="752"/>
      <c r="AD25" s="752"/>
      <c r="AE25" s="752"/>
      <c r="AF25" s="752"/>
      <c r="AG25" s="752"/>
      <c r="AH25" s="753"/>
    </row>
    <row r="26" spans="1:34" s="17" customFormat="1" ht="23.1" customHeight="1">
      <c r="A26" s="877"/>
      <c r="B26" s="905"/>
      <c r="C26" s="1382"/>
      <c r="D26" s="1383"/>
      <c r="E26" s="1137"/>
      <c r="F26" s="1139"/>
      <c r="G26" s="1017">
        <f t="shared" si="0"/>
        <v>0</v>
      </c>
      <c r="H26" s="650"/>
      <c r="I26" s="651"/>
      <c r="J26" s="1018">
        <f t="shared" si="1"/>
        <v>0</v>
      </c>
      <c r="K26" s="656"/>
      <c r="L26" s="657"/>
      <c r="M26" s="656"/>
      <c r="N26" s="656"/>
      <c r="O26" s="711"/>
      <c r="P26" s="711"/>
      <c r="Q26" s="711"/>
      <c r="R26" s="809"/>
      <c r="S26" s="81"/>
      <c r="U26" s="751" t="str">
        <f t="shared" si="2"/>
        <v/>
      </c>
      <c r="V26" s="752"/>
      <c r="W26" s="797"/>
      <c r="X26" s="797"/>
      <c r="Y26" s="796"/>
      <c r="Z26" s="752"/>
      <c r="AA26" s="752"/>
      <c r="AB26" s="752"/>
      <c r="AC26" s="752"/>
      <c r="AD26" s="752"/>
      <c r="AE26" s="752"/>
      <c r="AF26" s="752"/>
      <c r="AG26" s="752"/>
      <c r="AH26" s="753"/>
    </row>
    <row r="27" spans="1:34" s="17" customFormat="1" ht="23.1" customHeight="1">
      <c r="A27" s="877"/>
      <c r="B27" s="905"/>
      <c r="C27" s="1382"/>
      <c r="D27" s="1383"/>
      <c r="E27" s="1137"/>
      <c r="F27" s="1139"/>
      <c r="G27" s="1017">
        <f t="shared" si="0"/>
        <v>0</v>
      </c>
      <c r="H27" s="650"/>
      <c r="I27" s="651"/>
      <c r="J27" s="1018">
        <f t="shared" si="1"/>
        <v>0</v>
      </c>
      <c r="K27" s="656"/>
      <c r="L27" s="657"/>
      <c r="M27" s="656"/>
      <c r="N27" s="656"/>
      <c r="O27" s="711"/>
      <c r="P27" s="711"/>
      <c r="Q27" s="711"/>
      <c r="R27" s="809"/>
      <c r="S27" s="81"/>
      <c r="U27" s="751" t="str">
        <f t="shared" si="2"/>
        <v/>
      </c>
      <c r="V27" s="752"/>
      <c r="W27" s="797"/>
      <c r="X27" s="797"/>
      <c r="Y27" s="796"/>
      <c r="Z27" s="752"/>
      <c r="AA27" s="752"/>
      <c r="AB27" s="752"/>
      <c r="AC27" s="752"/>
      <c r="AD27" s="752"/>
      <c r="AE27" s="752"/>
      <c r="AF27" s="752"/>
      <c r="AG27" s="752"/>
      <c r="AH27" s="753"/>
    </row>
    <row r="28" spans="1:34" s="17" customFormat="1" ht="23.1" customHeight="1">
      <c r="A28" s="877"/>
      <c r="B28" s="905"/>
      <c r="C28" s="1382"/>
      <c r="D28" s="1383"/>
      <c r="E28" s="1137"/>
      <c r="F28" s="1139"/>
      <c r="G28" s="1017">
        <f t="shared" si="0"/>
        <v>0</v>
      </c>
      <c r="H28" s="650"/>
      <c r="I28" s="651"/>
      <c r="J28" s="1018">
        <f t="shared" si="1"/>
        <v>0</v>
      </c>
      <c r="K28" s="656"/>
      <c r="L28" s="657"/>
      <c r="M28" s="656"/>
      <c r="N28" s="656"/>
      <c r="O28" s="711"/>
      <c r="P28" s="711"/>
      <c r="Q28" s="711"/>
      <c r="R28" s="809"/>
      <c r="S28" s="81"/>
      <c r="U28" s="751" t="str">
        <f t="shared" si="2"/>
        <v/>
      </c>
      <c r="V28" s="752"/>
      <c r="W28" s="797"/>
      <c r="X28" s="797"/>
      <c r="Y28" s="796"/>
      <c r="Z28" s="752"/>
      <c r="AA28" s="752"/>
      <c r="AB28" s="752"/>
      <c r="AC28" s="752"/>
      <c r="AD28" s="752"/>
      <c r="AE28" s="752"/>
      <c r="AF28" s="752"/>
      <c r="AG28" s="752"/>
      <c r="AH28" s="753"/>
    </row>
    <row r="29" spans="1:34" s="17" customFormat="1" ht="23.1" customHeight="1">
      <c r="A29" s="877"/>
      <c r="B29" s="905"/>
      <c r="C29" s="1382"/>
      <c r="D29" s="1383"/>
      <c r="E29" s="1137"/>
      <c r="F29" s="1139"/>
      <c r="G29" s="1017">
        <f t="shared" si="0"/>
        <v>0</v>
      </c>
      <c r="H29" s="650"/>
      <c r="I29" s="651"/>
      <c r="J29" s="1018">
        <f t="shared" si="1"/>
        <v>0</v>
      </c>
      <c r="K29" s="656"/>
      <c r="L29" s="657"/>
      <c r="M29" s="656"/>
      <c r="N29" s="656"/>
      <c r="O29" s="711"/>
      <c r="P29" s="711"/>
      <c r="Q29" s="711"/>
      <c r="R29" s="809"/>
      <c r="S29" s="81"/>
      <c r="U29" s="751" t="str">
        <f t="shared" si="2"/>
        <v/>
      </c>
      <c r="V29" s="752"/>
      <c r="W29" s="797"/>
      <c r="X29" s="797"/>
      <c r="Y29" s="796"/>
      <c r="Z29" s="752"/>
      <c r="AA29" s="752"/>
      <c r="AB29" s="752"/>
      <c r="AC29" s="752"/>
      <c r="AD29" s="752"/>
      <c r="AE29" s="752"/>
      <c r="AF29" s="752"/>
      <c r="AG29" s="752"/>
      <c r="AH29" s="753"/>
    </row>
    <row r="30" spans="1:34" s="17" customFormat="1" ht="23.1" customHeight="1">
      <c r="A30" s="877"/>
      <c r="B30" s="905"/>
      <c r="C30" s="1382"/>
      <c r="D30" s="1383"/>
      <c r="E30" s="1137"/>
      <c r="F30" s="1139"/>
      <c r="G30" s="1017">
        <f t="shared" si="0"/>
        <v>0</v>
      </c>
      <c r="H30" s="650"/>
      <c r="I30" s="651"/>
      <c r="J30" s="1018">
        <f t="shared" si="1"/>
        <v>0</v>
      </c>
      <c r="K30" s="656"/>
      <c r="L30" s="657"/>
      <c r="M30" s="656"/>
      <c r="N30" s="656"/>
      <c r="O30" s="711"/>
      <c r="P30" s="711"/>
      <c r="Q30" s="711"/>
      <c r="R30" s="809"/>
      <c r="S30" s="81"/>
      <c r="U30" s="751" t="str">
        <f t="shared" si="2"/>
        <v/>
      </c>
      <c r="V30" s="752"/>
      <c r="W30" s="797"/>
      <c r="X30" s="797"/>
      <c r="Y30" s="796"/>
      <c r="Z30" s="752"/>
      <c r="AA30" s="752"/>
      <c r="AB30" s="752"/>
      <c r="AC30" s="752"/>
      <c r="AD30" s="752"/>
      <c r="AE30" s="752"/>
      <c r="AF30" s="752"/>
      <c r="AG30" s="752"/>
      <c r="AH30" s="753"/>
    </row>
    <row r="31" spans="1:34" s="17" customFormat="1" ht="23.1" customHeight="1">
      <c r="A31" s="877"/>
      <c r="B31" s="905"/>
      <c r="C31" s="1382"/>
      <c r="D31" s="1383"/>
      <c r="E31" s="1137"/>
      <c r="F31" s="1139"/>
      <c r="G31" s="1017">
        <f t="shared" si="0"/>
        <v>0</v>
      </c>
      <c r="H31" s="650"/>
      <c r="I31" s="651"/>
      <c r="J31" s="1018">
        <f t="shared" si="1"/>
        <v>0</v>
      </c>
      <c r="K31" s="656"/>
      <c r="L31" s="657"/>
      <c r="M31" s="656"/>
      <c r="N31" s="656"/>
      <c r="O31" s="711"/>
      <c r="P31" s="711"/>
      <c r="Q31" s="711"/>
      <c r="R31" s="809"/>
      <c r="S31" s="81"/>
      <c r="U31" s="751" t="str">
        <f t="shared" si="2"/>
        <v/>
      </c>
      <c r="V31" s="752"/>
      <c r="W31" s="797"/>
      <c r="X31" s="797"/>
      <c r="Y31" s="796"/>
      <c r="Z31" s="752"/>
      <c r="AA31" s="752"/>
      <c r="AB31" s="752"/>
      <c r="AC31" s="752"/>
      <c r="AD31" s="752"/>
      <c r="AE31" s="752"/>
      <c r="AF31" s="752"/>
      <c r="AG31" s="752"/>
      <c r="AH31" s="753"/>
    </row>
    <row r="32" spans="1:34" s="17" customFormat="1" ht="23.1" customHeight="1">
      <c r="A32" s="877"/>
      <c r="B32" s="905"/>
      <c r="C32" s="1382"/>
      <c r="D32" s="1383"/>
      <c r="E32" s="1137"/>
      <c r="F32" s="1139"/>
      <c r="G32" s="1017">
        <f t="shared" si="0"/>
        <v>0</v>
      </c>
      <c r="H32" s="650"/>
      <c r="I32" s="651"/>
      <c r="J32" s="1018">
        <f t="shared" si="1"/>
        <v>0</v>
      </c>
      <c r="K32" s="656"/>
      <c r="L32" s="657"/>
      <c r="M32" s="656"/>
      <c r="N32" s="656"/>
      <c r="O32" s="711"/>
      <c r="P32" s="711"/>
      <c r="Q32" s="711"/>
      <c r="R32" s="809"/>
      <c r="S32" s="81"/>
      <c r="U32" s="751" t="str">
        <f t="shared" si="2"/>
        <v/>
      </c>
      <c r="V32" s="752"/>
      <c r="W32" s="797"/>
      <c r="X32" s="797"/>
      <c r="Y32" s="796"/>
      <c r="Z32" s="752"/>
      <c r="AA32" s="752"/>
      <c r="AB32" s="752"/>
      <c r="AC32" s="752"/>
      <c r="AD32" s="752"/>
      <c r="AE32" s="752"/>
      <c r="AF32" s="752"/>
      <c r="AG32" s="752"/>
      <c r="AH32" s="753"/>
    </row>
    <row r="33" spans="1:34" s="17" customFormat="1" ht="23.1" customHeight="1">
      <c r="A33" s="877"/>
      <c r="B33" s="905"/>
      <c r="C33" s="1382"/>
      <c r="D33" s="1383"/>
      <c r="E33" s="1137"/>
      <c r="F33" s="1139"/>
      <c r="G33" s="1017">
        <f t="shared" si="0"/>
        <v>0</v>
      </c>
      <c r="H33" s="650"/>
      <c r="I33" s="651"/>
      <c r="J33" s="1018">
        <f t="shared" si="1"/>
        <v>0</v>
      </c>
      <c r="K33" s="656"/>
      <c r="L33" s="657"/>
      <c r="M33" s="656"/>
      <c r="N33" s="656"/>
      <c r="O33" s="711"/>
      <c r="P33" s="711"/>
      <c r="Q33" s="711"/>
      <c r="R33" s="809"/>
      <c r="S33" s="81"/>
      <c r="U33" s="751" t="str">
        <f t="shared" si="2"/>
        <v/>
      </c>
      <c r="V33" s="752"/>
      <c r="W33" s="797"/>
      <c r="X33" s="797"/>
      <c r="Y33" s="796"/>
      <c r="Z33" s="752"/>
      <c r="AA33" s="752"/>
      <c r="AB33" s="752"/>
      <c r="AC33" s="752"/>
      <c r="AD33" s="752"/>
      <c r="AE33" s="752"/>
      <c r="AF33" s="752"/>
      <c r="AG33" s="752"/>
      <c r="AH33" s="753"/>
    </row>
    <row r="34" spans="1:34" s="17" customFormat="1" ht="23.1" customHeight="1">
      <c r="A34" s="877"/>
      <c r="B34" s="905"/>
      <c r="C34" s="1382"/>
      <c r="D34" s="1383"/>
      <c r="E34" s="1137"/>
      <c r="F34" s="1139"/>
      <c r="G34" s="1017">
        <f t="shared" si="0"/>
        <v>0</v>
      </c>
      <c r="H34" s="650"/>
      <c r="I34" s="651"/>
      <c r="J34" s="1018">
        <f t="shared" si="1"/>
        <v>0</v>
      </c>
      <c r="K34" s="656"/>
      <c r="L34" s="657"/>
      <c r="M34" s="656"/>
      <c r="N34" s="656"/>
      <c r="O34" s="711"/>
      <c r="P34" s="711"/>
      <c r="Q34" s="711"/>
      <c r="R34" s="809"/>
      <c r="S34" s="81"/>
      <c r="U34" s="751" t="str">
        <f t="shared" si="2"/>
        <v/>
      </c>
      <c r="V34" s="752"/>
      <c r="W34" s="797"/>
      <c r="X34" s="797"/>
      <c r="Y34" s="796"/>
      <c r="Z34" s="752"/>
      <c r="AA34" s="752"/>
      <c r="AB34" s="752"/>
      <c r="AC34" s="752"/>
      <c r="AD34" s="752"/>
      <c r="AE34" s="752"/>
      <c r="AF34" s="752"/>
      <c r="AG34" s="752"/>
      <c r="AH34" s="753"/>
    </row>
    <row r="35" spans="1:34" s="17" customFormat="1" ht="23.1" customHeight="1">
      <c r="A35" s="877"/>
      <c r="B35" s="905"/>
      <c r="C35" s="1382"/>
      <c r="D35" s="1383"/>
      <c r="E35" s="1137"/>
      <c r="F35" s="1139"/>
      <c r="G35" s="1017">
        <f t="shared" si="0"/>
        <v>0</v>
      </c>
      <c r="H35" s="650"/>
      <c r="I35" s="651"/>
      <c r="J35" s="1018">
        <f t="shared" si="1"/>
        <v>0</v>
      </c>
      <c r="K35" s="656"/>
      <c r="L35" s="657"/>
      <c r="M35" s="656"/>
      <c r="N35" s="656"/>
      <c r="O35" s="711"/>
      <c r="P35" s="711"/>
      <c r="Q35" s="711"/>
      <c r="R35" s="809"/>
      <c r="S35" s="81"/>
      <c r="U35" s="751" t="str">
        <f t="shared" si="2"/>
        <v/>
      </c>
      <c r="V35" s="752"/>
      <c r="W35" s="797"/>
      <c r="X35" s="797"/>
      <c r="Y35" s="796"/>
      <c r="Z35" s="752"/>
      <c r="AA35" s="752"/>
      <c r="AB35" s="752"/>
      <c r="AC35" s="752"/>
      <c r="AD35" s="752"/>
      <c r="AE35" s="752"/>
      <c r="AF35" s="752"/>
      <c r="AG35" s="752"/>
      <c r="AH35" s="753"/>
    </row>
    <row r="36" spans="1:34" s="17" customFormat="1" ht="23.1" customHeight="1">
      <c r="A36" s="877"/>
      <c r="B36" s="905"/>
      <c r="C36" s="1382"/>
      <c r="D36" s="1383"/>
      <c r="E36" s="1137"/>
      <c r="F36" s="1139"/>
      <c r="G36" s="1017">
        <f t="shared" si="0"/>
        <v>0</v>
      </c>
      <c r="H36" s="650"/>
      <c r="I36" s="651"/>
      <c r="J36" s="1018">
        <f t="shared" si="1"/>
        <v>0</v>
      </c>
      <c r="K36" s="656"/>
      <c r="L36" s="657"/>
      <c r="M36" s="656"/>
      <c r="N36" s="656"/>
      <c r="O36" s="711"/>
      <c r="P36" s="711"/>
      <c r="Q36" s="711"/>
      <c r="R36" s="809"/>
      <c r="S36" s="81"/>
      <c r="U36" s="751" t="str">
        <f t="shared" si="2"/>
        <v/>
      </c>
      <c r="V36" s="752"/>
      <c r="W36" s="797"/>
      <c r="X36" s="797"/>
      <c r="Y36" s="796"/>
      <c r="Z36" s="752"/>
      <c r="AA36" s="752"/>
      <c r="AB36" s="752"/>
      <c r="AC36" s="752"/>
      <c r="AD36" s="752"/>
      <c r="AE36" s="752"/>
      <c r="AF36" s="752"/>
      <c r="AG36" s="752"/>
      <c r="AH36" s="753"/>
    </row>
    <row r="37" spans="1:34" s="17" customFormat="1" ht="23.1" customHeight="1">
      <c r="A37" s="877"/>
      <c r="B37" s="905"/>
      <c r="C37" s="1382"/>
      <c r="D37" s="1383"/>
      <c r="E37" s="1137"/>
      <c r="F37" s="1139"/>
      <c r="G37" s="1017">
        <f t="shared" si="0"/>
        <v>0</v>
      </c>
      <c r="H37" s="650"/>
      <c r="I37" s="651"/>
      <c r="J37" s="1018">
        <f t="shared" si="1"/>
        <v>0</v>
      </c>
      <c r="K37" s="656"/>
      <c r="L37" s="657"/>
      <c r="M37" s="656"/>
      <c r="N37" s="656"/>
      <c r="O37" s="711"/>
      <c r="P37" s="711"/>
      <c r="Q37" s="711"/>
      <c r="R37" s="809"/>
      <c r="S37" s="81"/>
      <c r="U37" s="751" t="str">
        <f t="shared" si="2"/>
        <v/>
      </c>
      <c r="V37" s="752"/>
      <c r="W37" s="797"/>
      <c r="X37" s="797"/>
      <c r="Y37" s="796"/>
      <c r="Z37" s="752"/>
      <c r="AA37" s="752"/>
      <c r="AB37" s="752"/>
      <c r="AC37" s="752"/>
      <c r="AD37" s="752"/>
      <c r="AE37" s="752"/>
      <c r="AF37" s="752"/>
      <c r="AG37" s="752"/>
      <c r="AH37" s="753"/>
    </row>
    <row r="38" spans="1:34" s="17" customFormat="1" ht="23.1" customHeight="1">
      <c r="A38" s="877"/>
      <c r="B38" s="905"/>
      <c r="C38" s="1382"/>
      <c r="D38" s="1383"/>
      <c r="E38" s="1137"/>
      <c r="F38" s="1139"/>
      <c r="G38" s="1017">
        <f t="shared" si="0"/>
        <v>0</v>
      </c>
      <c r="H38" s="650"/>
      <c r="I38" s="651"/>
      <c r="J38" s="1018">
        <f t="shared" si="1"/>
        <v>0</v>
      </c>
      <c r="K38" s="656"/>
      <c r="L38" s="657"/>
      <c r="M38" s="656"/>
      <c r="N38" s="656"/>
      <c r="O38" s="711"/>
      <c r="P38" s="711"/>
      <c r="Q38" s="711"/>
      <c r="R38" s="809"/>
      <c r="S38" s="81"/>
      <c r="U38" s="751" t="str">
        <f t="shared" si="2"/>
        <v/>
      </c>
      <c r="V38" s="752"/>
      <c r="W38" s="797"/>
      <c r="X38" s="797"/>
      <c r="Y38" s="796"/>
      <c r="Z38" s="752"/>
      <c r="AA38" s="752"/>
      <c r="AB38" s="752"/>
      <c r="AC38" s="752"/>
      <c r="AD38" s="752"/>
      <c r="AE38" s="752"/>
      <c r="AF38" s="752"/>
      <c r="AG38" s="752"/>
      <c r="AH38" s="753"/>
    </row>
    <row r="39" spans="1:34" s="17" customFormat="1" ht="23.1" customHeight="1">
      <c r="A39" s="877"/>
      <c r="B39" s="905"/>
      <c r="C39" s="1382"/>
      <c r="D39" s="1383"/>
      <c r="E39" s="1137"/>
      <c r="F39" s="1139"/>
      <c r="G39" s="1017">
        <f t="shared" si="0"/>
        <v>0</v>
      </c>
      <c r="H39" s="650"/>
      <c r="I39" s="651"/>
      <c r="J39" s="1018">
        <f t="shared" si="1"/>
        <v>0</v>
      </c>
      <c r="K39" s="656"/>
      <c r="L39" s="657"/>
      <c r="M39" s="656"/>
      <c r="N39" s="656"/>
      <c r="O39" s="711"/>
      <c r="P39" s="711"/>
      <c r="Q39" s="711"/>
      <c r="R39" s="809"/>
      <c r="S39" s="81"/>
      <c r="U39" s="751" t="str">
        <f t="shared" si="2"/>
        <v/>
      </c>
      <c r="V39" s="752"/>
      <c r="W39" s="797"/>
      <c r="X39" s="797"/>
      <c r="Y39" s="796"/>
      <c r="Z39" s="752"/>
      <c r="AA39" s="752"/>
      <c r="AB39" s="752"/>
      <c r="AC39" s="752"/>
      <c r="AD39" s="752"/>
      <c r="AE39" s="752"/>
      <c r="AF39" s="752"/>
      <c r="AG39" s="752"/>
      <c r="AH39" s="753"/>
    </row>
    <row r="40" spans="1:34" ht="23.1" customHeight="1" thickBot="1">
      <c r="B40" s="80"/>
      <c r="C40" s="1390"/>
      <c r="D40" s="1391"/>
      <c r="E40" s="1140"/>
      <c r="F40" s="1139"/>
      <c r="G40" s="1019">
        <f t="shared" si="0"/>
        <v>0</v>
      </c>
      <c r="H40" s="652"/>
      <c r="I40" s="653"/>
      <c r="J40" s="1020">
        <f t="shared" si="1"/>
        <v>0</v>
      </c>
      <c r="K40" s="658"/>
      <c r="L40" s="659"/>
      <c r="M40" s="658"/>
      <c r="N40" s="658"/>
      <c r="O40" s="712"/>
      <c r="P40" s="712"/>
      <c r="Q40" s="713"/>
      <c r="R40" s="810"/>
      <c r="S40" s="72"/>
      <c r="U40" s="751" t="str">
        <f t="shared" si="2"/>
        <v/>
      </c>
      <c r="V40" s="752"/>
      <c r="W40" s="797"/>
      <c r="X40" s="797"/>
      <c r="Y40" s="796"/>
      <c r="Z40" s="752"/>
      <c r="AA40" s="752"/>
      <c r="AB40" s="752"/>
      <c r="AC40" s="752"/>
      <c r="AD40" s="752"/>
      <c r="AE40" s="752"/>
      <c r="AF40" s="752"/>
      <c r="AG40" s="752"/>
      <c r="AH40" s="753"/>
    </row>
    <row r="41" spans="1:34" ht="23.1" customHeight="1" thickBot="1">
      <c r="B41" s="80"/>
      <c r="C41" s="111" t="s">
        <v>866</v>
      </c>
      <c r="D41" s="112"/>
      <c r="E41" s="415"/>
      <c r="F41" s="112"/>
      <c r="G41" s="416">
        <f t="shared" ref="G41:N41" si="3">SUM(G21:G40)</f>
        <v>0</v>
      </c>
      <c r="H41" s="119">
        <f t="shared" si="3"/>
        <v>0</v>
      </c>
      <c r="I41" s="417">
        <f t="shared" si="3"/>
        <v>0</v>
      </c>
      <c r="J41" s="123">
        <f t="shared" si="3"/>
        <v>0</v>
      </c>
      <c r="K41" s="119">
        <f t="shared" si="3"/>
        <v>0</v>
      </c>
      <c r="L41" s="417">
        <f t="shared" si="3"/>
        <v>0</v>
      </c>
      <c r="M41" s="123">
        <f t="shared" si="3"/>
        <v>0</v>
      </c>
      <c r="N41" s="119">
        <f t="shared" si="3"/>
        <v>0</v>
      </c>
      <c r="O41" s="108"/>
      <c r="P41" s="108"/>
      <c r="Q41" s="108"/>
      <c r="R41" s="108"/>
      <c r="S41" s="72"/>
      <c r="U41" s="751"/>
      <c r="V41" s="752"/>
      <c r="W41" s="797"/>
      <c r="X41" s="797"/>
      <c r="Y41" s="752"/>
      <c r="Z41" s="752"/>
      <c r="AA41" s="752"/>
      <c r="AB41" s="752"/>
      <c r="AC41" s="752"/>
      <c r="AD41" s="752"/>
      <c r="AE41" s="752"/>
      <c r="AF41" s="752"/>
      <c r="AG41" s="752"/>
      <c r="AH41" s="753"/>
    </row>
    <row r="42" spans="1:34" ht="8.1" customHeight="1">
      <c r="B42" s="71"/>
      <c r="C42" s="17"/>
      <c r="D42" s="17"/>
      <c r="E42" s="17"/>
      <c r="G42" s="17"/>
      <c r="H42" s="17"/>
      <c r="I42" s="17"/>
      <c r="J42" s="17"/>
      <c r="K42" s="17"/>
      <c r="L42" s="17"/>
      <c r="M42" s="1"/>
      <c r="N42" s="1"/>
      <c r="O42" s="108"/>
      <c r="P42" s="108"/>
      <c r="Q42" s="108"/>
      <c r="R42" s="108"/>
      <c r="S42" s="72"/>
      <c r="U42" s="751"/>
      <c r="V42" s="752"/>
      <c r="W42" s="752"/>
      <c r="X42" s="752"/>
      <c r="Y42" s="752"/>
      <c r="Z42" s="752"/>
      <c r="AA42" s="752"/>
      <c r="AB42" s="752"/>
      <c r="AC42" s="752"/>
      <c r="AD42" s="752"/>
      <c r="AE42" s="752"/>
      <c r="AF42" s="752"/>
      <c r="AG42" s="752"/>
      <c r="AH42" s="753"/>
    </row>
    <row r="43" spans="1:34" ht="23.1" customHeight="1" thickBot="1">
      <c r="B43" s="80"/>
      <c r="C43" s="1385" t="s">
        <v>867</v>
      </c>
      <c r="D43" s="1386"/>
      <c r="E43" s="1386"/>
      <c r="F43" s="1387"/>
      <c r="G43" s="401">
        <f>H43+I43</f>
        <v>-19790.64</v>
      </c>
      <c r="H43" s="1021">
        <v>-19592.73</v>
      </c>
      <c r="I43" s="1022">
        <v>-197.91</v>
      </c>
      <c r="J43" s="401">
        <f>+K43+L43</f>
        <v>-19790.64</v>
      </c>
      <c r="K43" s="1021">
        <v>-19592.73</v>
      </c>
      <c r="L43" s="1022">
        <v>-197.91</v>
      </c>
      <c r="M43" s="494"/>
      <c r="N43" s="494"/>
      <c r="O43" s="108"/>
      <c r="P43" s="108"/>
      <c r="Q43" s="108"/>
      <c r="R43" s="108"/>
      <c r="S43" s="72"/>
      <c r="U43" s="751"/>
      <c r="V43" s="752"/>
      <c r="W43" s="752"/>
      <c r="X43" s="752"/>
      <c r="Y43" s="752"/>
      <c r="Z43" s="752"/>
      <c r="AA43" s="752"/>
      <c r="AB43" s="752"/>
      <c r="AC43" s="752"/>
      <c r="AD43" s="752"/>
      <c r="AE43" s="752"/>
      <c r="AF43" s="752"/>
      <c r="AG43" s="752"/>
      <c r="AH43" s="753"/>
    </row>
    <row r="44" spans="1:34" ht="23.1" customHeight="1" thickBot="1">
      <c r="B44" s="80"/>
      <c r="C44" s="1279" t="s">
        <v>868</v>
      </c>
      <c r="D44" s="1280"/>
      <c r="E44" s="1280"/>
      <c r="F44" s="1281"/>
      <c r="G44" s="402">
        <f>H44+I44</f>
        <v>220519.37</v>
      </c>
      <c r="H44" s="119">
        <f>+H19+H41+H43</f>
        <v>218338.08</v>
      </c>
      <c r="I44" s="417">
        <f>+I19+I41+I43</f>
        <v>2181.29</v>
      </c>
      <c r="J44" s="403">
        <f>K44+L44</f>
        <v>200728.72999999998</v>
      </c>
      <c r="K44" s="119">
        <f>K19+K41+SUM(K43:K43)</f>
        <v>198745.34999999998</v>
      </c>
      <c r="L44" s="417">
        <f>L19+L41+SUM(L43:L43)</f>
        <v>1983.3799999999999</v>
      </c>
      <c r="M44" s="150"/>
      <c r="N44" s="150"/>
      <c r="O44" s="108"/>
      <c r="P44" s="108"/>
      <c r="Q44" s="108"/>
      <c r="R44" s="108"/>
      <c r="S44" s="72"/>
      <c r="U44" s="751"/>
      <c r="V44" s="752"/>
      <c r="W44" s="752"/>
      <c r="X44" s="752"/>
      <c r="Y44" s="752"/>
      <c r="Z44" s="752"/>
      <c r="AA44" s="752"/>
      <c r="AB44" s="752"/>
      <c r="AC44" s="752"/>
      <c r="AD44" s="752"/>
      <c r="AE44" s="752"/>
      <c r="AF44" s="752"/>
      <c r="AG44" s="752"/>
      <c r="AH44" s="753"/>
    </row>
    <row r="45" spans="1:34" ht="23.1" customHeight="1">
      <c r="B45" s="80"/>
      <c r="C45" s="308"/>
      <c r="D45" s="308"/>
      <c r="E45" s="308"/>
      <c r="F45" s="601" t="s">
        <v>869</v>
      </c>
      <c r="G45" s="150">
        <f>SUMIF($E$21:$E$40,"Cabildo Insular de Tenerife",G21:G40)</f>
        <v>0</v>
      </c>
      <c r="H45" s="150"/>
      <c r="I45" s="150"/>
      <c r="J45" s="150">
        <f>SUMIF($E$21:$E$40,"Cabildo Insular de Tenerife",J21:J40)</f>
        <v>0</v>
      </c>
      <c r="K45" s="150"/>
      <c r="L45" s="150"/>
      <c r="M45" s="150">
        <f>SUMIF($E$21:$E$40,"Cabildo Insular de Tenerife",M21:M40)</f>
        <v>0</v>
      </c>
      <c r="N45" s="150">
        <f>SUMIF($E$21:$E$40,"Cabildo Insular de Tenerife",N21:N40)</f>
        <v>0</v>
      </c>
      <c r="O45" s="108"/>
      <c r="P45" s="108"/>
      <c r="Q45" s="108"/>
      <c r="R45" s="108"/>
      <c r="S45" s="72"/>
      <c r="U45" s="751"/>
      <c r="V45" s="752"/>
      <c r="W45" s="752"/>
      <c r="X45" s="752"/>
      <c r="Y45" s="752"/>
      <c r="Z45" s="752"/>
      <c r="AA45" s="752"/>
      <c r="AB45" s="752"/>
      <c r="AC45" s="752"/>
      <c r="AD45" s="752"/>
      <c r="AE45" s="752"/>
      <c r="AF45" s="752"/>
      <c r="AG45" s="752"/>
      <c r="AH45" s="753"/>
    </row>
    <row r="46" spans="1:34" ht="23.1" customHeight="1">
      <c r="B46" s="80"/>
      <c r="C46" s="308"/>
      <c r="D46" s="308"/>
      <c r="E46" s="308"/>
      <c r="F46" s="601" t="s">
        <v>870</v>
      </c>
      <c r="G46" s="150">
        <f>SUMIF($E$21:$E$40,"Otros - Unidad dependiente del Cabildo",G21:G40)</f>
        <v>0</v>
      </c>
      <c r="H46" s="150"/>
      <c r="I46" s="150"/>
      <c r="J46" s="150">
        <f>SUMIF($E$21:$E$40,"Otros - Unidad dependiente del Cabildo",J21:J40)</f>
        <v>0</v>
      </c>
      <c r="K46" s="150"/>
      <c r="L46" s="150"/>
      <c r="M46" s="150">
        <f>SUMIF($E$21:$E$40,"Otros - Unidad dependiente del Cabildo",M21:M40)</f>
        <v>0</v>
      </c>
      <c r="N46" s="150">
        <f>SUMIF($E$21:$E$40,"Otros - Unidad dependiente del Cabildo",N21:N40)</f>
        <v>0</v>
      </c>
      <c r="O46" s="108"/>
      <c r="P46" s="108"/>
      <c r="Q46" s="108"/>
      <c r="R46" s="108"/>
      <c r="S46" s="72"/>
      <c r="U46" s="751"/>
      <c r="V46" s="752"/>
      <c r="W46" s="752"/>
      <c r="X46" s="752"/>
      <c r="Y46" s="752"/>
      <c r="Z46" s="752"/>
      <c r="AA46" s="752"/>
      <c r="AB46" s="752"/>
      <c r="AC46" s="752"/>
      <c r="AD46" s="752"/>
      <c r="AE46" s="752"/>
      <c r="AF46" s="752"/>
      <c r="AG46" s="752"/>
      <c r="AH46" s="753"/>
    </row>
    <row r="47" spans="1:34" ht="23.1" customHeight="1">
      <c r="B47" s="80"/>
      <c r="C47" s="308"/>
      <c r="D47" s="308"/>
      <c r="E47" s="308"/>
      <c r="F47" s="601" t="s">
        <v>871</v>
      </c>
      <c r="G47" s="150">
        <f>SUMIF($E$21:$E$40,"Otros - Unión Europea",G21:G40)</f>
        <v>0</v>
      </c>
      <c r="H47" s="150"/>
      <c r="I47" s="150"/>
      <c r="J47" s="150">
        <f>SUMIF($E$21:$E$40,"Otros - Unión Europea",J21:J40)</f>
        <v>0</v>
      </c>
      <c r="K47" s="150"/>
      <c r="L47" s="150"/>
      <c r="M47" s="150">
        <f>SUMIF($E$21:$E$40,"Otros - Unión Europea",M21:M40)</f>
        <v>0</v>
      </c>
      <c r="N47" s="150">
        <f>SUMIF($E$21:$E$40,"Otros - Unión Europea",N21:N40)</f>
        <v>0</v>
      </c>
      <c r="O47" s="108"/>
      <c r="P47" s="108"/>
      <c r="Q47" s="108"/>
      <c r="R47" s="108"/>
      <c r="S47" s="72"/>
      <c r="U47" s="751"/>
      <c r="V47" s="752"/>
      <c r="W47" s="752"/>
      <c r="X47" s="752"/>
      <c r="Y47" s="752"/>
      <c r="Z47" s="752"/>
      <c r="AA47" s="752"/>
      <c r="AB47" s="752"/>
      <c r="AC47" s="752"/>
      <c r="AD47" s="752"/>
      <c r="AE47" s="752"/>
      <c r="AF47" s="752"/>
      <c r="AG47" s="752"/>
      <c r="AH47" s="753"/>
    </row>
    <row r="48" spans="1:34" ht="23.1" customHeight="1">
      <c r="B48" s="80"/>
      <c r="C48" s="308"/>
      <c r="D48" s="308"/>
      <c r="E48" s="308"/>
      <c r="F48" s="601" t="s">
        <v>872</v>
      </c>
      <c r="G48" s="150">
        <f>SUMIF($E$21:$E$40,"Otros - De otras Administraciones y Entes públicos",G21:G40)</f>
        <v>0</v>
      </c>
      <c r="H48" s="150"/>
      <c r="I48" s="150"/>
      <c r="J48" s="150">
        <f>SUMIF($E$21:$E$40,"Otros - De otras Administraciones y Entes públicos",J21:J40)</f>
        <v>0</v>
      </c>
      <c r="K48" s="150"/>
      <c r="L48" s="150"/>
      <c r="M48" s="150">
        <f>SUMIF($E$21:$E$40,"Otros - De otras Administraciones y Entes públicos",M21:M40)</f>
        <v>0</v>
      </c>
      <c r="N48" s="150">
        <f>SUMIF($E$21:$E$40,"Otros - De otras Administraciones y Entes públicos",N21:N40)</f>
        <v>0</v>
      </c>
      <c r="O48" s="108"/>
      <c r="P48" s="108"/>
      <c r="Q48" s="108"/>
      <c r="R48" s="108"/>
      <c r="S48" s="72"/>
      <c r="U48" s="751"/>
      <c r="V48" s="752"/>
      <c r="W48" s="752"/>
      <c r="X48" s="752"/>
      <c r="Y48" s="752"/>
      <c r="Z48" s="752"/>
      <c r="AA48" s="752"/>
      <c r="AB48" s="752"/>
      <c r="AC48" s="752"/>
      <c r="AD48" s="752"/>
      <c r="AE48" s="752"/>
      <c r="AF48" s="752"/>
      <c r="AG48" s="752"/>
      <c r="AH48" s="753"/>
    </row>
    <row r="49" spans="2:34" ht="23.1" customHeight="1">
      <c r="B49" s="80"/>
      <c r="C49" s="107"/>
      <c r="D49" s="107"/>
      <c r="E49" s="108"/>
      <c r="F49" s="108"/>
      <c r="G49" s="728" t="str">
        <f>IF(SUM(G45:G48)=G41,"","Falta indicar algún Ente concedente")</f>
        <v/>
      </c>
      <c r="H49" s="108"/>
      <c r="I49" s="108"/>
      <c r="J49" s="728" t="str">
        <f>IF(SUM(J45:J48)=J41,"","Falta indicar algún Ente concedente")</f>
        <v/>
      </c>
      <c r="K49" s="108"/>
      <c r="L49" s="108"/>
      <c r="M49" s="728" t="str">
        <f>IF(SUM(M45:M48)=M41,"","Falta indicar algún Ente concedente")</f>
        <v/>
      </c>
      <c r="N49" s="728" t="str">
        <f>IF(SUM(N45:N48)=N41,"","Falta indicar algún Ente concedente")</f>
        <v/>
      </c>
      <c r="O49" s="108"/>
      <c r="P49" s="108"/>
      <c r="Q49" s="108"/>
      <c r="R49" s="108"/>
      <c r="S49" s="72"/>
      <c r="U49" s="751"/>
      <c r="V49" s="752"/>
      <c r="W49" s="752"/>
      <c r="X49" s="752"/>
      <c r="Y49" s="752"/>
      <c r="Z49" s="752"/>
      <c r="AA49" s="752"/>
      <c r="AB49" s="752"/>
      <c r="AC49" s="752"/>
      <c r="AD49" s="752"/>
      <c r="AE49" s="752"/>
      <c r="AF49" s="752"/>
      <c r="AG49" s="752"/>
      <c r="AH49" s="753"/>
    </row>
    <row r="50" spans="2:34" ht="23.1" customHeight="1">
      <c r="B50" s="80"/>
      <c r="C50" s="8" t="s">
        <v>873</v>
      </c>
      <c r="D50" s="107"/>
      <c r="E50" s="108"/>
      <c r="F50" s="108"/>
      <c r="G50" s="108"/>
      <c r="H50" s="108"/>
      <c r="I50" s="108"/>
      <c r="J50" s="108"/>
      <c r="K50" s="108"/>
      <c r="L50" s="108"/>
      <c r="M50" s="108"/>
      <c r="N50" s="108"/>
      <c r="O50" s="108"/>
      <c r="P50" s="108"/>
      <c r="Q50" s="108"/>
      <c r="R50" s="108"/>
      <c r="S50" s="72"/>
      <c r="U50" s="751"/>
      <c r="V50" s="752"/>
      <c r="W50" s="752"/>
      <c r="X50" s="752"/>
      <c r="Y50" s="752"/>
      <c r="Z50" s="752"/>
      <c r="AA50" s="752"/>
      <c r="AB50" s="752"/>
      <c r="AC50" s="752"/>
      <c r="AD50" s="752"/>
      <c r="AE50" s="752"/>
      <c r="AF50" s="752"/>
      <c r="AG50" s="752"/>
      <c r="AH50" s="753"/>
    </row>
    <row r="51" spans="2:34" ht="48.75" customHeight="1">
      <c r="B51" s="80"/>
      <c r="C51" s="1369" t="s">
        <v>854</v>
      </c>
      <c r="D51" s="1370"/>
      <c r="E51" s="1377" t="s">
        <v>851</v>
      </c>
      <c r="F51" s="1367"/>
      <c r="G51" s="1377" t="s">
        <v>874</v>
      </c>
      <c r="H51" s="1367"/>
      <c r="I51" s="1377" t="s">
        <v>875</v>
      </c>
      <c r="J51" s="1367"/>
      <c r="K51" s="385"/>
      <c r="L51" s="385"/>
      <c r="M51" s="385"/>
      <c r="N51" s="152" t="s">
        <v>858</v>
      </c>
      <c r="O51" s="108"/>
      <c r="P51" s="108"/>
      <c r="Q51" s="108"/>
      <c r="R51" s="108"/>
      <c r="S51" s="72"/>
      <c r="U51" s="751"/>
      <c r="V51" s="752"/>
      <c r="W51" s="752"/>
      <c r="X51" s="752"/>
      <c r="Y51" s="752"/>
      <c r="Z51" s="752"/>
      <c r="AA51" s="752"/>
      <c r="AB51" s="752"/>
      <c r="AC51" s="752"/>
      <c r="AD51" s="752"/>
      <c r="AE51" s="752"/>
      <c r="AF51" s="752"/>
      <c r="AG51" s="752"/>
      <c r="AH51" s="753"/>
    </row>
    <row r="52" spans="2:34" ht="11.1" customHeight="1">
      <c r="B52" s="80"/>
      <c r="C52" s="1371"/>
      <c r="D52" s="1372"/>
      <c r="E52" s="1362"/>
      <c r="F52" s="1359"/>
      <c r="G52" s="707"/>
      <c r="H52" s="398"/>
      <c r="I52" s="707"/>
      <c r="J52" s="398"/>
      <c r="K52" s="388"/>
      <c r="L52" s="388"/>
      <c r="M52" s="388"/>
      <c r="N52" s="137"/>
      <c r="O52" s="108"/>
      <c r="P52" s="108"/>
      <c r="Q52" s="108"/>
      <c r="R52" s="108"/>
      <c r="S52" s="72"/>
      <c r="U52" s="751"/>
      <c r="V52" s="752"/>
      <c r="W52" s="752"/>
      <c r="X52" s="752"/>
      <c r="Y52" s="752"/>
      <c r="Z52" s="752"/>
      <c r="AA52" s="752"/>
      <c r="AB52" s="752"/>
      <c r="AC52" s="752"/>
      <c r="AD52" s="752"/>
      <c r="AE52" s="752"/>
      <c r="AF52" s="752"/>
      <c r="AG52" s="752"/>
      <c r="AH52" s="753"/>
    </row>
    <row r="53" spans="2:34" ht="38.1" customHeight="1">
      <c r="B53" s="80"/>
      <c r="C53" s="1375" t="s">
        <v>859</v>
      </c>
      <c r="D53" s="1376"/>
      <c r="E53" s="1373" t="s">
        <v>855</v>
      </c>
      <c r="F53" s="1374"/>
      <c r="G53" s="386">
        <f>ejercicio-1</f>
        <v>2024</v>
      </c>
      <c r="H53" s="386">
        <f>ejercicio</f>
        <v>2025</v>
      </c>
      <c r="I53" s="386">
        <f>ejercicio-1</f>
        <v>2024</v>
      </c>
      <c r="J53" s="386">
        <f>ejercicio</f>
        <v>2025</v>
      </c>
      <c r="K53" s="386" t="s">
        <v>862</v>
      </c>
      <c r="L53" s="386" t="s">
        <v>863</v>
      </c>
      <c r="M53" s="386" t="s">
        <v>864</v>
      </c>
      <c r="N53" s="388" t="s">
        <v>865</v>
      </c>
      <c r="O53" s="108"/>
      <c r="P53" s="108"/>
      <c r="Q53" s="108"/>
      <c r="R53" s="108"/>
      <c r="S53" s="72"/>
      <c r="U53" s="751"/>
      <c r="V53" s="752"/>
      <c r="W53" s="752"/>
      <c r="X53" s="752"/>
      <c r="Y53" s="752"/>
      <c r="Z53" s="752"/>
      <c r="AA53" s="752"/>
      <c r="AB53" s="752"/>
      <c r="AC53" s="752"/>
      <c r="AD53" s="752"/>
      <c r="AE53" s="752"/>
      <c r="AF53" s="752"/>
      <c r="AG53" s="752"/>
      <c r="AH53" s="753"/>
    </row>
    <row r="54" spans="2:34" ht="23.1" customHeight="1">
      <c r="B54" s="80"/>
      <c r="C54" s="1388"/>
      <c r="D54" s="1389"/>
      <c r="E54" s="1137"/>
      <c r="F54" s="1138"/>
      <c r="G54" s="648"/>
      <c r="H54" s="929"/>
      <c r="I54" s="648"/>
      <c r="J54" s="654"/>
      <c r="K54" s="710"/>
      <c r="L54" s="710"/>
      <c r="M54" s="710"/>
      <c r="N54" s="808"/>
      <c r="O54" s="448"/>
      <c r="P54" s="448"/>
      <c r="Q54" s="448"/>
      <c r="R54" s="448"/>
      <c r="S54" s="72"/>
      <c r="U54" s="751" t="str">
        <f>IF(AND((G54=I54),(H54=J54)),"","----&gt;  Explicar")</f>
        <v/>
      </c>
      <c r="V54" s="752"/>
      <c r="W54" s="752"/>
      <c r="X54" s="752"/>
      <c r="Y54" s="752"/>
      <c r="Z54" s="752"/>
      <c r="AA54" s="752"/>
      <c r="AB54" s="752"/>
      <c r="AC54" s="752"/>
      <c r="AD54" s="752"/>
      <c r="AE54" s="752"/>
      <c r="AF54" s="752"/>
      <c r="AG54" s="752"/>
      <c r="AH54" s="753"/>
    </row>
    <row r="55" spans="2:34" ht="23.1" customHeight="1">
      <c r="B55" s="80"/>
      <c r="C55" s="1382"/>
      <c r="D55" s="1383"/>
      <c r="E55" s="1137"/>
      <c r="F55" s="1139"/>
      <c r="G55" s="650"/>
      <c r="H55" s="929"/>
      <c r="I55" s="650"/>
      <c r="J55" s="656"/>
      <c r="K55" s="711"/>
      <c r="L55" s="711"/>
      <c r="M55" s="711"/>
      <c r="N55" s="809"/>
      <c r="O55" s="448"/>
      <c r="P55" s="448"/>
      <c r="Q55" s="448"/>
      <c r="R55" s="448"/>
      <c r="S55" s="72"/>
      <c r="U55" s="751" t="str">
        <f t="shared" ref="U55:U73" si="4">IF(AND((G55=I55),(H55=J55)),"","----&gt;  Explicar")</f>
        <v/>
      </c>
      <c r="V55" s="752"/>
      <c r="W55" s="752"/>
      <c r="X55" s="752"/>
      <c r="Y55" s="752"/>
      <c r="Z55" s="752"/>
      <c r="AA55" s="752"/>
      <c r="AB55" s="752"/>
      <c r="AC55" s="752"/>
      <c r="AD55" s="752"/>
      <c r="AE55" s="752"/>
      <c r="AF55" s="752"/>
      <c r="AG55" s="752"/>
      <c r="AH55" s="753"/>
    </row>
    <row r="56" spans="2:34" ht="23.1" customHeight="1">
      <c r="B56" s="80"/>
      <c r="C56" s="1382"/>
      <c r="D56" s="1383"/>
      <c r="E56" s="1137"/>
      <c r="F56" s="1139"/>
      <c r="G56" s="650"/>
      <c r="H56" s="929"/>
      <c r="I56" s="650"/>
      <c r="J56" s="656"/>
      <c r="K56" s="711"/>
      <c r="L56" s="711"/>
      <c r="M56" s="711"/>
      <c r="N56" s="809"/>
      <c r="O56" s="448"/>
      <c r="P56" s="448"/>
      <c r="Q56" s="448"/>
      <c r="R56" s="448"/>
      <c r="S56" s="72"/>
      <c r="U56" s="751" t="str">
        <f t="shared" si="4"/>
        <v/>
      </c>
      <c r="V56" s="752"/>
      <c r="W56" s="752"/>
      <c r="X56" s="752"/>
      <c r="Y56" s="752"/>
      <c r="Z56" s="752"/>
      <c r="AA56" s="752"/>
      <c r="AB56" s="752"/>
      <c r="AC56" s="752"/>
      <c r="AD56" s="752"/>
      <c r="AE56" s="752"/>
      <c r="AF56" s="752"/>
      <c r="AG56" s="752"/>
      <c r="AH56" s="753"/>
    </row>
    <row r="57" spans="2:34" ht="23.1" customHeight="1">
      <c r="B57" s="80"/>
      <c r="C57" s="1382"/>
      <c r="D57" s="1383"/>
      <c r="E57" s="1137"/>
      <c r="F57" s="1139"/>
      <c r="G57" s="650"/>
      <c r="H57" s="929"/>
      <c r="I57" s="650"/>
      <c r="J57" s="656"/>
      <c r="K57" s="711"/>
      <c r="L57" s="711"/>
      <c r="M57" s="711"/>
      <c r="N57" s="809"/>
      <c r="O57" s="448"/>
      <c r="P57" s="448"/>
      <c r="Q57" s="448"/>
      <c r="R57" s="448"/>
      <c r="S57" s="72"/>
      <c r="U57" s="751" t="str">
        <f t="shared" si="4"/>
        <v/>
      </c>
      <c r="V57" s="752"/>
      <c r="W57" s="752"/>
      <c r="X57" s="752"/>
      <c r="Y57" s="752"/>
      <c r="Z57" s="752"/>
      <c r="AA57" s="752"/>
      <c r="AB57" s="752"/>
      <c r="AC57" s="752"/>
      <c r="AD57" s="752"/>
      <c r="AE57" s="752"/>
      <c r="AF57" s="752"/>
      <c r="AG57" s="752"/>
      <c r="AH57" s="753"/>
    </row>
    <row r="58" spans="2:34" ht="23.1" customHeight="1">
      <c r="B58" s="80"/>
      <c r="C58" s="1382"/>
      <c r="D58" s="1383"/>
      <c r="E58" s="1137"/>
      <c r="F58" s="1139"/>
      <c r="G58" s="650"/>
      <c r="H58" s="929"/>
      <c r="I58" s="650"/>
      <c r="J58" s="656"/>
      <c r="K58" s="711"/>
      <c r="L58" s="711"/>
      <c r="M58" s="711"/>
      <c r="N58" s="809"/>
      <c r="O58" s="448"/>
      <c r="P58" s="448"/>
      <c r="Q58" s="448"/>
      <c r="R58" s="448"/>
      <c r="S58" s="72"/>
      <c r="U58" s="751" t="str">
        <f t="shared" si="4"/>
        <v/>
      </c>
      <c r="V58" s="752"/>
      <c r="W58" s="797"/>
      <c r="X58" s="797"/>
      <c r="Y58" s="796"/>
      <c r="Z58" s="752"/>
      <c r="AA58" s="752"/>
      <c r="AB58" s="752"/>
      <c r="AC58" s="752"/>
      <c r="AD58" s="752"/>
      <c r="AE58" s="752"/>
      <c r="AF58" s="752"/>
      <c r="AG58" s="752"/>
      <c r="AH58" s="753"/>
    </row>
    <row r="59" spans="2:34" ht="23.1" customHeight="1">
      <c r="B59" s="80"/>
      <c r="C59" s="1382"/>
      <c r="D59" s="1383"/>
      <c r="E59" s="1137"/>
      <c r="F59" s="1139"/>
      <c r="G59" s="650"/>
      <c r="H59" s="929"/>
      <c r="I59" s="650"/>
      <c r="J59" s="656"/>
      <c r="K59" s="711"/>
      <c r="L59" s="711"/>
      <c r="M59" s="711"/>
      <c r="N59" s="809"/>
      <c r="O59" s="448"/>
      <c r="P59" s="448"/>
      <c r="Q59" s="448"/>
      <c r="R59" s="448"/>
      <c r="S59" s="72"/>
      <c r="U59" s="751" t="str">
        <f t="shared" si="4"/>
        <v/>
      </c>
      <c r="V59" s="752"/>
      <c r="W59" s="797"/>
      <c r="X59" s="797"/>
      <c r="Y59" s="796"/>
      <c r="Z59" s="752"/>
      <c r="AA59" s="752"/>
      <c r="AB59" s="752"/>
      <c r="AC59" s="752"/>
      <c r="AD59" s="752"/>
      <c r="AE59" s="752"/>
      <c r="AF59" s="752"/>
      <c r="AG59" s="752"/>
      <c r="AH59" s="753"/>
    </row>
    <row r="60" spans="2:34" ht="23.1" customHeight="1">
      <c r="B60" s="80"/>
      <c r="C60" s="1382"/>
      <c r="D60" s="1383"/>
      <c r="E60" s="1137"/>
      <c r="F60" s="1139"/>
      <c r="G60" s="650"/>
      <c r="H60" s="929"/>
      <c r="I60" s="650"/>
      <c r="J60" s="656"/>
      <c r="K60" s="711"/>
      <c r="L60" s="711"/>
      <c r="M60" s="711"/>
      <c r="N60" s="809"/>
      <c r="O60" s="448"/>
      <c r="P60" s="448"/>
      <c r="Q60" s="448"/>
      <c r="R60" s="448"/>
      <c r="S60" s="72"/>
      <c r="U60" s="751" t="str">
        <f t="shared" si="4"/>
        <v/>
      </c>
      <c r="V60" s="752"/>
      <c r="W60" s="797"/>
      <c r="X60" s="797"/>
      <c r="Y60" s="796"/>
      <c r="Z60" s="752"/>
      <c r="AA60" s="752"/>
      <c r="AB60" s="752"/>
      <c r="AC60" s="752"/>
      <c r="AD60" s="752"/>
      <c r="AE60" s="752"/>
      <c r="AF60" s="752"/>
      <c r="AG60" s="752"/>
      <c r="AH60" s="753"/>
    </row>
    <row r="61" spans="2:34" ht="23.1" customHeight="1">
      <c r="B61" s="80"/>
      <c r="C61" s="1382"/>
      <c r="D61" s="1383"/>
      <c r="E61" s="1137"/>
      <c r="F61" s="1139"/>
      <c r="G61" s="650"/>
      <c r="H61" s="929"/>
      <c r="I61" s="650"/>
      <c r="J61" s="656"/>
      <c r="K61" s="711"/>
      <c r="L61" s="711"/>
      <c r="M61" s="711"/>
      <c r="N61" s="809"/>
      <c r="O61" s="448"/>
      <c r="P61" s="448"/>
      <c r="Q61" s="448"/>
      <c r="R61" s="448"/>
      <c r="S61" s="72"/>
      <c r="U61" s="751" t="str">
        <f t="shared" si="4"/>
        <v/>
      </c>
      <c r="V61" s="752"/>
      <c r="W61" s="797"/>
      <c r="X61" s="797"/>
      <c r="Y61" s="796"/>
      <c r="Z61" s="752"/>
      <c r="AA61" s="752"/>
      <c r="AB61" s="752"/>
      <c r="AC61" s="752"/>
      <c r="AD61" s="752"/>
      <c r="AE61" s="752"/>
      <c r="AF61" s="752"/>
      <c r="AG61" s="752"/>
      <c r="AH61" s="753"/>
    </row>
    <row r="62" spans="2:34" ht="23.1" customHeight="1">
      <c r="B62" s="80"/>
      <c r="C62" s="1382"/>
      <c r="D62" s="1383"/>
      <c r="E62" s="1137"/>
      <c r="F62" s="1139"/>
      <c r="G62" s="650"/>
      <c r="H62" s="929"/>
      <c r="I62" s="656"/>
      <c r="J62" s="656"/>
      <c r="K62" s="711"/>
      <c r="L62" s="711"/>
      <c r="M62" s="711"/>
      <c r="N62" s="809"/>
      <c r="O62" s="448"/>
      <c r="P62" s="448"/>
      <c r="Q62" s="448"/>
      <c r="R62" s="448"/>
      <c r="S62" s="72"/>
      <c r="U62" s="751" t="str">
        <f t="shared" si="4"/>
        <v/>
      </c>
      <c r="V62" s="752"/>
      <c r="W62" s="797"/>
      <c r="X62" s="797"/>
      <c r="Y62" s="796"/>
      <c r="Z62" s="752"/>
      <c r="AA62" s="752"/>
      <c r="AB62" s="752"/>
      <c r="AC62" s="752"/>
      <c r="AD62" s="752"/>
      <c r="AE62" s="752"/>
      <c r="AF62" s="752"/>
      <c r="AG62" s="752"/>
      <c r="AH62" s="753"/>
    </row>
    <row r="63" spans="2:34" ht="23.1" customHeight="1">
      <c r="B63" s="80"/>
      <c r="C63" s="1382"/>
      <c r="D63" s="1383"/>
      <c r="E63" s="1137"/>
      <c r="F63" s="1139"/>
      <c r="G63" s="650"/>
      <c r="H63" s="929"/>
      <c r="I63" s="656"/>
      <c r="J63" s="656"/>
      <c r="K63" s="711"/>
      <c r="L63" s="711"/>
      <c r="M63" s="711"/>
      <c r="N63" s="809"/>
      <c r="O63" s="448"/>
      <c r="P63" s="448"/>
      <c r="Q63" s="448"/>
      <c r="R63" s="448"/>
      <c r="S63" s="72"/>
      <c r="U63" s="751" t="str">
        <f t="shared" si="4"/>
        <v/>
      </c>
      <c r="V63" s="752"/>
      <c r="W63" s="797"/>
      <c r="X63" s="797"/>
      <c r="Y63" s="796"/>
      <c r="Z63" s="752"/>
      <c r="AA63" s="752"/>
      <c r="AB63" s="752"/>
      <c r="AC63" s="752"/>
      <c r="AD63" s="752"/>
      <c r="AE63" s="752"/>
      <c r="AF63" s="752"/>
      <c r="AG63" s="752"/>
      <c r="AH63" s="753"/>
    </row>
    <row r="64" spans="2:34" ht="23.1" customHeight="1">
      <c r="B64" s="80"/>
      <c r="C64" s="1382"/>
      <c r="D64" s="1383"/>
      <c r="E64" s="1137"/>
      <c r="F64" s="1139"/>
      <c r="G64" s="650"/>
      <c r="H64" s="929"/>
      <c r="I64" s="656"/>
      <c r="J64" s="656"/>
      <c r="K64" s="711"/>
      <c r="L64" s="711"/>
      <c r="M64" s="711"/>
      <c r="N64" s="809"/>
      <c r="O64" s="448"/>
      <c r="P64" s="448"/>
      <c r="Q64" s="448"/>
      <c r="R64" s="448"/>
      <c r="S64" s="72"/>
      <c r="U64" s="751" t="str">
        <f t="shared" si="4"/>
        <v/>
      </c>
      <c r="V64" s="752"/>
      <c r="W64" s="797"/>
      <c r="X64" s="797"/>
      <c r="Y64" s="796"/>
      <c r="Z64" s="752"/>
      <c r="AA64" s="752"/>
      <c r="AB64" s="752"/>
      <c r="AC64" s="752"/>
      <c r="AD64" s="752"/>
      <c r="AE64" s="752"/>
      <c r="AF64" s="752"/>
      <c r="AG64" s="752"/>
      <c r="AH64" s="753"/>
    </row>
    <row r="65" spans="2:34" ht="23.1" customHeight="1">
      <c r="B65" s="80"/>
      <c r="C65" s="1382"/>
      <c r="D65" s="1383"/>
      <c r="E65" s="1137"/>
      <c r="F65" s="1139"/>
      <c r="G65" s="650"/>
      <c r="H65" s="929"/>
      <c r="I65" s="656"/>
      <c r="J65" s="656"/>
      <c r="K65" s="711"/>
      <c r="L65" s="711"/>
      <c r="M65" s="711"/>
      <c r="N65" s="809"/>
      <c r="O65" s="448"/>
      <c r="P65" s="448"/>
      <c r="Q65" s="448"/>
      <c r="R65" s="448"/>
      <c r="S65" s="72"/>
      <c r="U65" s="751" t="str">
        <f t="shared" si="4"/>
        <v/>
      </c>
      <c r="V65" s="752"/>
      <c r="W65" s="797"/>
      <c r="X65" s="797"/>
      <c r="Y65" s="796"/>
      <c r="Z65" s="752"/>
      <c r="AA65" s="752"/>
      <c r="AB65" s="752"/>
      <c r="AC65" s="752"/>
      <c r="AD65" s="752"/>
      <c r="AE65" s="752"/>
      <c r="AF65" s="752"/>
      <c r="AG65" s="752"/>
      <c r="AH65" s="753"/>
    </row>
    <row r="66" spans="2:34" ht="23.1" customHeight="1">
      <c r="B66" s="80"/>
      <c r="C66" s="1382"/>
      <c r="D66" s="1383"/>
      <c r="E66" s="1137"/>
      <c r="F66" s="1139"/>
      <c r="G66" s="650"/>
      <c r="H66" s="929"/>
      <c r="I66" s="656"/>
      <c r="J66" s="656"/>
      <c r="K66" s="711"/>
      <c r="L66" s="711"/>
      <c r="M66" s="711"/>
      <c r="N66" s="809"/>
      <c r="O66" s="448"/>
      <c r="P66" s="448"/>
      <c r="Q66" s="448"/>
      <c r="R66" s="448"/>
      <c r="S66" s="72"/>
      <c r="U66" s="751" t="str">
        <f t="shared" si="4"/>
        <v/>
      </c>
      <c r="V66" s="752"/>
      <c r="W66" s="797"/>
      <c r="X66" s="797"/>
      <c r="Y66" s="796"/>
      <c r="Z66" s="752"/>
      <c r="AA66" s="752"/>
      <c r="AB66" s="752"/>
      <c r="AC66" s="752"/>
      <c r="AD66" s="752"/>
      <c r="AE66" s="752"/>
      <c r="AF66" s="752"/>
      <c r="AG66" s="752"/>
      <c r="AH66" s="753"/>
    </row>
    <row r="67" spans="2:34" ht="23.1" customHeight="1">
      <c r="B67" s="80"/>
      <c r="C67" s="1382"/>
      <c r="D67" s="1383"/>
      <c r="E67" s="1137"/>
      <c r="F67" s="1139"/>
      <c r="G67" s="650"/>
      <c r="H67" s="929"/>
      <c r="I67" s="656"/>
      <c r="J67" s="656"/>
      <c r="K67" s="711"/>
      <c r="L67" s="711"/>
      <c r="M67" s="711"/>
      <c r="N67" s="809"/>
      <c r="O67" s="448"/>
      <c r="P67" s="448"/>
      <c r="Q67" s="448"/>
      <c r="R67" s="448"/>
      <c r="S67" s="72"/>
      <c r="U67" s="751" t="str">
        <f t="shared" si="4"/>
        <v/>
      </c>
      <c r="V67" s="752"/>
      <c r="W67" s="797"/>
      <c r="X67" s="797"/>
      <c r="Y67" s="796"/>
      <c r="Z67" s="752"/>
      <c r="AA67" s="752"/>
      <c r="AB67" s="752"/>
      <c r="AC67" s="752"/>
      <c r="AD67" s="752"/>
      <c r="AE67" s="752"/>
      <c r="AF67" s="752"/>
      <c r="AG67" s="752"/>
      <c r="AH67" s="753"/>
    </row>
    <row r="68" spans="2:34" ht="23.1" customHeight="1">
      <c r="B68" s="80"/>
      <c r="C68" s="1382"/>
      <c r="D68" s="1383"/>
      <c r="E68" s="1137"/>
      <c r="F68" s="1139"/>
      <c r="G68" s="650"/>
      <c r="H68" s="929"/>
      <c r="I68" s="656"/>
      <c r="J68" s="656"/>
      <c r="K68" s="711"/>
      <c r="L68" s="711"/>
      <c r="M68" s="711"/>
      <c r="N68" s="809"/>
      <c r="O68" s="448"/>
      <c r="P68" s="448"/>
      <c r="Q68" s="448"/>
      <c r="R68" s="448"/>
      <c r="S68" s="72"/>
      <c r="U68" s="751" t="str">
        <f t="shared" si="4"/>
        <v/>
      </c>
      <c r="V68" s="752"/>
      <c r="W68" s="797"/>
      <c r="X68" s="797"/>
      <c r="Y68" s="796"/>
      <c r="Z68" s="752"/>
      <c r="AA68" s="752"/>
      <c r="AB68" s="752"/>
      <c r="AC68" s="752"/>
      <c r="AD68" s="752"/>
      <c r="AE68" s="752"/>
      <c r="AF68" s="752"/>
      <c r="AG68" s="752"/>
      <c r="AH68" s="753"/>
    </row>
    <row r="69" spans="2:34" ht="23.1" customHeight="1">
      <c r="B69" s="80"/>
      <c r="C69" s="1382"/>
      <c r="D69" s="1383"/>
      <c r="E69" s="1137"/>
      <c r="F69" s="1139"/>
      <c r="G69" s="650"/>
      <c r="H69" s="929"/>
      <c r="I69" s="656"/>
      <c r="J69" s="656"/>
      <c r="K69" s="711"/>
      <c r="L69" s="711"/>
      <c r="M69" s="711"/>
      <c r="N69" s="809"/>
      <c r="O69" s="448"/>
      <c r="P69" s="448"/>
      <c r="Q69" s="448"/>
      <c r="R69" s="448"/>
      <c r="S69" s="72"/>
      <c r="U69" s="751" t="str">
        <f t="shared" si="4"/>
        <v/>
      </c>
      <c r="V69" s="752"/>
      <c r="W69" s="797"/>
      <c r="X69" s="797"/>
      <c r="Y69" s="796"/>
      <c r="Z69" s="752"/>
      <c r="AA69" s="752"/>
      <c r="AB69" s="752"/>
      <c r="AC69" s="752"/>
      <c r="AD69" s="752"/>
      <c r="AE69" s="752"/>
      <c r="AF69" s="752"/>
      <c r="AG69" s="752"/>
      <c r="AH69" s="753"/>
    </row>
    <row r="70" spans="2:34" ht="23.1" customHeight="1">
      <c r="B70" s="80"/>
      <c r="C70" s="1382"/>
      <c r="D70" s="1383"/>
      <c r="E70" s="1137"/>
      <c r="F70" s="1139"/>
      <c r="G70" s="650"/>
      <c r="H70" s="929"/>
      <c r="I70" s="656"/>
      <c r="J70" s="656"/>
      <c r="K70" s="711"/>
      <c r="L70" s="711"/>
      <c r="M70" s="711"/>
      <c r="N70" s="809"/>
      <c r="O70" s="448"/>
      <c r="P70" s="448"/>
      <c r="Q70" s="448"/>
      <c r="R70" s="448"/>
      <c r="S70" s="72"/>
      <c r="U70" s="751" t="str">
        <f t="shared" si="4"/>
        <v/>
      </c>
      <c r="V70" s="752"/>
      <c r="W70" s="797"/>
      <c r="X70" s="797"/>
      <c r="Y70" s="796"/>
      <c r="Z70" s="752"/>
      <c r="AA70" s="752"/>
      <c r="AB70" s="752"/>
      <c r="AC70" s="752"/>
      <c r="AD70" s="752"/>
      <c r="AE70" s="752"/>
      <c r="AF70" s="752"/>
      <c r="AG70" s="752"/>
      <c r="AH70" s="753"/>
    </row>
    <row r="71" spans="2:34" ht="23.1" customHeight="1">
      <c r="B71" s="80"/>
      <c r="C71" s="1382"/>
      <c r="D71" s="1383"/>
      <c r="E71" s="1137"/>
      <c r="F71" s="1139"/>
      <c r="G71" s="650"/>
      <c r="H71" s="929"/>
      <c r="I71" s="656"/>
      <c r="J71" s="656"/>
      <c r="K71" s="711"/>
      <c r="L71" s="711"/>
      <c r="M71" s="711"/>
      <c r="N71" s="809"/>
      <c r="O71" s="448"/>
      <c r="P71" s="448"/>
      <c r="Q71" s="448"/>
      <c r="R71" s="448"/>
      <c r="S71" s="72"/>
      <c r="U71" s="751" t="str">
        <f t="shared" si="4"/>
        <v/>
      </c>
      <c r="V71" s="752"/>
      <c r="W71" s="797"/>
      <c r="X71" s="797"/>
      <c r="Y71" s="796"/>
      <c r="Z71" s="752"/>
      <c r="AA71" s="752"/>
      <c r="AB71" s="752"/>
      <c r="AC71" s="752"/>
      <c r="AD71" s="752"/>
      <c r="AE71" s="752"/>
      <c r="AF71" s="752"/>
      <c r="AG71" s="752"/>
      <c r="AH71" s="753"/>
    </row>
    <row r="72" spans="2:34" ht="23.1" customHeight="1">
      <c r="B72" s="80"/>
      <c r="C72" s="1382"/>
      <c r="D72" s="1383"/>
      <c r="E72" s="1137"/>
      <c r="F72" s="1139"/>
      <c r="G72" s="650"/>
      <c r="H72" s="929"/>
      <c r="I72" s="656"/>
      <c r="J72" s="656"/>
      <c r="K72" s="711"/>
      <c r="L72" s="711"/>
      <c r="M72" s="711"/>
      <c r="N72" s="809"/>
      <c r="O72" s="448"/>
      <c r="P72" s="448"/>
      <c r="Q72" s="448"/>
      <c r="R72" s="448"/>
      <c r="S72" s="72"/>
      <c r="U72" s="751" t="str">
        <f t="shared" si="4"/>
        <v/>
      </c>
      <c r="V72" s="752"/>
      <c r="W72" s="797"/>
      <c r="X72" s="797"/>
      <c r="Y72" s="796"/>
      <c r="Z72" s="752"/>
      <c r="AA72" s="752"/>
      <c r="AB72" s="752"/>
      <c r="AC72" s="752"/>
      <c r="AD72" s="752"/>
      <c r="AE72" s="752"/>
      <c r="AF72" s="752"/>
      <c r="AG72" s="752"/>
      <c r="AH72" s="753"/>
    </row>
    <row r="73" spans="2:34" ht="23.1" customHeight="1">
      <c r="B73" s="80"/>
      <c r="C73" s="1390"/>
      <c r="D73" s="1391"/>
      <c r="E73" s="1140"/>
      <c r="F73" s="1141"/>
      <c r="G73" s="652"/>
      <c r="H73" s="911"/>
      <c r="I73" s="658"/>
      <c r="J73" s="658"/>
      <c r="K73" s="714"/>
      <c r="L73" s="714"/>
      <c r="M73" s="714"/>
      <c r="N73" s="811"/>
      <c r="O73" s="448"/>
      <c r="P73" s="448"/>
      <c r="Q73" s="448"/>
      <c r="R73" s="448"/>
      <c r="S73" s="72"/>
      <c r="U73" s="751" t="str">
        <f t="shared" si="4"/>
        <v/>
      </c>
      <c r="V73" s="752"/>
      <c r="W73" s="797"/>
      <c r="X73" s="797"/>
      <c r="Y73" s="796"/>
      <c r="Z73" s="752"/>
      <c r="AA73" s="752"/>
      <c r="AB73" s="752"/>
      <c r="AC73" s="752"/>
      <c r="AD73" s="752"/>
      <c r="AE73" s="752"/>
      <c r="AF73" s="752"/>
      <c r="AG73" s="752"/>
      <c r="AH73" s="753"/>
    </row>
    <row r="74" spans="2:34" ht="23.1" customHeight="1" thickBot="1">
      <c r="B74" s="80"/>
      <c r="C74" s="1279" t="s">
        <v>876</v>
      </c>
      <c r="D74" s="1280"/>
      <c r="E74" s="1280"/>
      <c r="F74" s="1281"/>
      <c r="G74" s="119">
        <f>SUM(G54:G73)</f>
        <v>0</v>
      </c>
      <c r="H74" s="119">
        <f>SUM(H54:H73)</f>
        <v>0</v>
      </c>
      <c r="I74" s="119">
        <f>SUM(I54:I73)</f>
        <v>0</v>
      </c>
      <c r="J74" s="119">
        <f>SUM(J54:J73)</f>
        <v>0</v>
      </c>
      <c r="K74" s="148"/>
      <c r="L74" s="108"/>
      <c r="M74" s="108"/>
      <c r="N74" s="108"/>
      <c r="O74" s="108"/>
      <c r="P74" s="108"/>
      <c r="Q74" s="108"/>
      <c r="R74" s="108"/>
      <c r="S74" s="72"/>
      <c r="U74" s="751"/>
      <c r="V74" s="752"/>
      <c r="W74" s="752"/>
      <c r="X74" s="752"/>
      <c r="Y74" s="796"/>
      <c r="Z74" s="752"/>
      <c r="AA74" s="752"/>
      <c r="AB74" s="752"/>
      <c r="AC74" s="752"/>
      <c r="AD74" s="752"/>
      <c r="AE74" s="752"/>
      <c r="AF74" s="752"/>
      <c r="AG74" s="752"/>
      <c r="AH74" s="753"/>
    </row>
    <row r="75" spans="2:34" ht="23.1" customHeight="1">
      <c r="B75" s="80"/>
      <c r="C75" s="308"/>
      <c r="D75" s="308"/>
      <c r="E75" s="308"/>
      <c r="F75" s="601" t="s">
        <v>877</v>
      </c>
      <c r="G75" s="150">
        <f>SUMIF($E$54:$E$73,"Cabildo Insular de Tenerife",$G$54:$G$73)</f>
        <v>0</v>
      </c>
      <c r="H75" s="150">
        <f>SUMIF($E$54:$E$73,"Cabildo Insular de Tenerife",$H$54:$H$73)</f>
        <v>0</v>
      </c>
      <c r="I75" s="150">
        <f>SUMIF($E$54:$E$73,"Cabildo Insular de Tenerife",$I$54:$I$73)</f>
        <v>0</v>
      </c>
      <c r="J75" s="150">
        <f>SUMIF($E$54:$E$73,"Cabildo Insular de Tenerife",$J$54:$J$73)</f>
        <v>0</v>
      </c>
      <c r="K75" s="108"/>
      <c r="L75" s="108"/>
      <c r="M75" s="108"/>
      <c r="N75" s="108"/>
      <c r="O75" s="108"/>
      <c r="P75" s="108"/>
      <c r="Q75" s="108"/>
      <c r="R75" s="108"/>
      <c r="S75" s="72"/>
      <c r="U75" s="751"/>
      <c r="V75" s="752"/>
      <c r="W75" s="752"/>
      <c r="X75" s="752"/>
      <c r="Y75" s="796"/>
      <c r="Z75" s="752"/>
      <c r="AA75" s="752"/>
      <c r="AB75" s="752"/>
      <c r="AC75" s="752"/>
      <c r="AD75" s="752"/>
      <c r="AE75" s="752"/>
      <c r="AF75" s="752"/>
      <c r="AG75" s="752"/>
      <c r="AH75" s="753"/>
    </row>
    <row r="76" spans="2:34" ht="23.1" customHeight="1">
      <c r="B76" s="80"/>
      <c r="C76" s="308"/>
      <c r="D76" s="308"/>
      <c r="E76" s="308"/>
      <c r="F76" s="601" t="s">
        <v>878</v>
      </c>
      <c r="G76" s="150">
        <f>SUMIF($E$54:$E$73,"Otros - Unidad dependiente del Cabildo",$G$54:$G$73)</f>
        <v>0</v>
      </c>
      <c r="H76" s="150">
        <f>SUMIF($E$54:$E$73,"Otros - Unidad dependiente del Cabildo",$H$54:$H$73)</f>
        <v>0</v>
      </c>
      <c r="I76" s="150">
        <f>SUMIF($E$54:$E$73,"Otros - Unidad dependiente del Cabildo",$I$54:$I$73)</f>
        <v>0</v>
      </c>
      <c r="J76" s="150">
        <f>SUMIF($E$54:$E$73,"Otros - Unidad dependiente del Cabildo",$J$54:$J$73)</f>
        <v>0</v>
      </c>
      <c r="K76" s="108"/>
      <c r="L76" s="108"/>
      <c r="M76" s="108"/>
      <c r="N76" s="108"/>
      <c r="O76" s="108"/>
      <c r="P76" s="108"/>
      <c r="Q76" s="108"/>
      <c r="R76" s="108"/>
      <c r="S76" s="72"/>
      <c r="U76" s="751"/>
      <c r="V76" s="752"/>
      <c r="W76" s="752"/>
      <c r="X76" s="752"/>
      <c r="Y76" s="796"/>
      <c r="Z76" s="752"/>
      <c r="AA76" s="752"/>
      <c r="AB76" s="752"/>
      <c r="AC76" s="752"/>
      <c r="AD76" s="752"/>
      <c r="AE76" s="752"/>
      <c r="AF76" s="752"/>
      <c r="AG76" s="752"/>
      <c r="AH76" s="753"/>
    </row>
    <row r="77" spans="2:34" ht="23.1" customHeight="1">
      <c r="B77" s="80"/>
      <c r="C77" s="308"/>
      <c r="D77" s="308"/>
      <c r="E77" s="308"/>
      <c r="F77" s="601" t="s">
        <v>879</v>
      </c>
      <c r="G77" s="150">
        <f>SUMIF($E$54:$E$73,"Otros - Unión Europea",$G$54:$G$73)</f>
        <v>0</v>
      </c>
      <c r="H77" s="150">
        <f>SUMIF($E$54:$E$73,"Otros - Unión Europea",$H$54:$H$73)</f>
        <v>0</v>
      </c>
      <c r="I77" s="150">
        <f>SUMIF($E$54:$E$73,"Otros - Unión Europea",$I$54:$I$73)</f>
        <v>0</v>
      </c>
      <c r="J77" s="150">
        <f>SUMIF($E$54:$E$73,"Otros - Unión Europea",$J$54:$J$73)</f>
        <v>0</v>
      </c>
      <c r="K77" s="108"/>
      <c r="L77" s="108"/>
      <c r="M77" s="108"/>
      <c r="N77" s="108"/>
      <c r="O77" s="108"/>
      <c r="P77" s="108"/>
      <c r="Q77" s="108"/>
      <c r="R77" s="108"/>
      <c r="S77" s="72"/>
      <c r="U77" s="751"/>
      <c r="V77" s="752"/>
      <c r="W77" s="752"/>
      <c r="X77" s="752"/>
      <c r="Y77" s="796"/>
      <c r="Z77" s="752"/>
      <c r="AA77" s="752"/>
      <c r="AB77" s="752"/>
      <c r="AC77" s="752"/>
      <c r="AD77" s="752"/>
      <c r="AE77" s="752"/>
      <c r="AF77" s="752"/>
      <c r="AG77" s="752"/>
      <c r="AH77" s="753"/>
    </row>
    <row r="78" spans="2:34" ht="23.1" customHeight="1">
      <c r="B78" s="80"/>
      <c r="C78" s="308"/>
      <c r="D78" s="308"/>
      <c r="E78" s="308"/>
      <c r="F78" s="601" t="s">
        <v>880</v>
      </c>
      <c r="G78" s="150">
        <f>SUMIF($E$54:$E$73,"Otros - De otras Administraciones y Entes públicos",$G$54:$G$73)</f>
        <v>0</v>
      </c>
      <c r="H78" s="150">
        <f>SUMIF($E$54:$E$73,"Otros - De otras Administraciones y Entes públicos",$H$54:$H$73)</f>
        <v>0</v>
      </c>
      <c r="I78" s="150">
        <f>SUMIF($E$54:$E$73,"Otros - De otras Administraciones y Entes públicos",$I$54:$I$73)</f>
        <v>0</v>
      </c>
      <c r="J78" s="150">
        <f>SUMIF($E$54:$E$73,"Otros - De otras Administraciones y Entes públicos",$J$54:$J$73)</f>
        <v>0</v>
      </c>
      <c r="K78" s="108"/>
      <c r="L78" s="108"/>
      <c r="M78" s="108"/>
      <c r="N78" s="108"/>
      <c r="O78" s="108"/>
      <c r="P78" s="108"/>
      <c r="Q78" s="108"/>
      <c r="R78" s="108"/>
      <c r="S78" s="72"/>
      <c r="U78" s="751"/>
      <c r="V78" s="752"/>
      <c r="W78" s="752"/>
      <c r="X78" s="752"/>
      <c r="Y78" s="796"/>
      <c r="Z78" s="752"/>
      <c r="AA78" s="752"/>
      <c r="AB78" s="752"/>
      <c r="AC78" s="752"/>
      <c r="AD78" s="752"/>
      <c r="AE78" s="752"/>
      <c r="AF78" s="752"/>
      <c r="AG78" s="752"/>
      <c r="AH78" s="753"/>
    </row>
    <row r="79" spans="2:34" ht="23.1" customHeight="1">
      <c r="B79" s="80"/>
      <c r="C79" s="308"/>
      <c r="D79" s="308"/>
      <c r="E79" s="308"/>
      <c r="F79" s="601"/>
      <c r="G79" s="728" t="str">
        <f>IF(SUM(G75:G78)=G74,"","Falta indicar algún Ente concedente")</f>
        <v/>
      </c>
      <c r="H79" s="728" t="str">
        <f>IF(SUM(H75:H78)=H74,"","Falta indicar algún Ente concedente")</f>
        <v/>
      </c>
      <c r="I79" s="728" t="str">
        <f>IF(SUM(I75:I78)=I74,"","Falta indicar algún Ente concedente")</f>
        <v/>
      </c>
      <c r="J79" s="728" t="str">
        <f>IF(SUM(J75:J78)=J74,"","Falta indicar algún Ente concedente")</f>
        <v/>
      </c>
      <c r="K79" s="108"/>
      <c r="L79" s="108"/>
      <c r="M79" s="108"/>
      <c r="N79" s="108"/>
      <c r="O79" s="108"/>
      <c r="P79" s="108"/>
      <c r="Q79" s="108"/>
      <c r="R79" s="108"/>
      <c r="S79" s="72"/>
      <c r="U79" s="751"/>
      <c r="V79" s="752"/>
      <c r="W79" s="752"/>
      <c r="X79" s="752"/>
      <c r="Y79" s="796"/>
      <c r="Z79" s="752"/>
      <c r="AA79" s="752"/>
      <c r="AB79" s="752"/>
      <c r="AC79" s="752"/>
      <c r="AD79" s="752"/>
      <c r="AE79" s="752"/>
      <c r="AF79" s="752"/>
      <c r="AG79" s="752"/>
      <c r="AH79" s="753"/>
    </row>
    <row r="80" spans="2:34" ht="23.1" customHeight="1">
      <c r="B80" s="80"/>
      <c r="C80" s="597"/>
      <c r="D80" s="597"/>
      <c r="E80" s="150"/>
      <c r="F80" s="150"/>
      <c r="G80" s="494"/>
      <c r="H80" s="494"/>
      <c r="I80" s="494"/>
      <c r="J80" s="494"/>
      <c r="K80" s="150"/>
      <c r="L80" s="150"/>
      <c r="M80" s="431"/>
      <c r="N80" s="431"/>
      <c r="O80" s="431"/>
      <c r="P80" s="431"/>
      <c r="Q80" s="431"/>
      <c r="R80" s="431"/>
      <c r="S80" s="72"/>
      <c r="U80" s="751"/>
      <c r="V80" s="752"/>
      <c r="W80" s="752"/>
      <c r="X80" s="752"/>
      <c r="Y80" s="796"/>
      <c r="Z80" s="752"/>
      <c r="AA80" s="752"/>
      <c r="AB80" s="752"/>
      <c r="AC80" s="752"/>
      <c r="AD80" s="752"/>
      <c r="AE80" s="752"/>
      <c r="AF80" s="752"/>
      <c r="AG80" s="752"/>
      <c r="AH80" s="753"/>
    </row>
    <row r="81" spans="2:34" s="79" customFormat="1" ht="30" customHeight="1">
      <c r="B81" s="75"/>
      <c r="C81" s="38" t="s">
        <v>881</v>
      </c>
      <c r="D81" s="8"/>
      <c r="E81" s="64"/>
      <c r="F81" s="64"/>
      <c r="G81" s="64"/>
      <c r="H81" s="64"/>
      <c r="I81" s="64"/>
      <c r="J81" s="64"/>
      <c r="K81" s="64"/>
      <c r="L81" s="64"/>
      <c r="M81" s="64"/>
      <c r="N81" s="431"/>
      <c r="O81" s="431"/>
      <c r="P81" s="431"/>
      <c r="Q81" s="431"/>
      <c r="R81" s="431"/>
      <c r="S81" s="78"/>
      <c r="U81" s="751"/>
      <c r="V81" s="752"/>
      <c r="W81" s="752"/>
      <c r="X81" s="752"/>
      <c r="Y81" s="796"/>
      <c r="Z81" s="752"/>
      <c r="AA81" s="752"/>
      <c r="AB81" s="752"/>
      <c r="AC81" s="752"/>
      <c r="AD81" s="752"/>
      <c r="AE81" s="752"/>
      <c r="AF81" s="752"/>
      <c r="AG81" s="752"/>
      <c r="AH81" s="753"/>
    </row>
    <row r="82" spans="2:34" s="79" customFormat="1" ht="30" customHeight="1">
      <c r="B82" s="75"/>
      <c r="C82" s="1369" t="s">
        <v>854</v>
      </c>
      <c r="D82" s="1370"/>
      <c r="E82" s="1377" t="s">
        <v>851</v>
      </c>
      <c r="F82" s="1381"/>
      <c r="G82" s="1378" t="s">
        <v>882</v>
      </c>
      <c r="H82" s="1379"/>
      <c r="I82" s="1379"/>
      <c r="J82" s="1379"/>
      <c r="K82" s="1379"/>
      <c r="L82" s="1380"/>
      <c r="M82" s="1366" t="s">
        <v>883</v>
      </c>
      <c r="N82" s="1367"/>
      <c r="O82" s="385"/>
      <c r="P82" s="385"/>
      <c r="Q82" s="385"/>
      <c r="R82" s="385"/>
      <c r="S82" s="78"/>
      <c r="U82" s="751"/>
      <c r="V82" s="752"/>
      <c r="W82" s="752"/>
      <c r="X82" s="752"/>
      <c r="Y82" s="796"/>
      <c r="Z82" s="752"/>
      <c r="AA82" s="752"/>
      <c r="AB82" s="752"/>
      <c r="AC82" s="752"/>
      <c r="AD82" s="752"/>
      <c r="AE82" s="752"/>
      <c r="AF82" s="752"/>
      <c r="AG82" s="752"/>
      <c r="AH82" s="753"/>
    </row>
    <row r="83" spans="2:34" s="79" customFormat="1" ht="30" customHeight="1">
      <c r="B83" s="75"/>
      <c r="C83" s="1371"/>
      <c r="D83" s="1372"/>
      <c r="E83" s="1360"/>
      <c r="F83" s="1361"/>
      <c r="G83" s="404" t="s">
        <v>884</v>
      </c>
      <c r="H83" s="1362">
        <f>ejercicio-1</f>
        <v>2024</v>
      </c>
      <c r="I83" s="1363"/>
      <c r="J83" s="405" t="s">
        <v>884</v>
      </c>
      <c r="K83" s="1362">
        <f>ejercicio</f>
        <v>2025</v>
      </c>
      <c r="L83" s="1363"/>
      <c r="M83" s="1368"/>
      <c r="N83" s="1359"/>
      <c r="O83" s="388"/>
      <c r="P83" s="388"/>
      <c r="Q83" s="388"/>
      <c r="R83" s="388" t="s">
        <v>858</v>
      </c>
      <c r="S83" s="78"/>
      <c r="U83" s="751"/>
      <c r="V83" s="752"/>
      <c r="W83" s="752"/>
      <c r="X83" s="752"/>
      <c r="Y83" s="796"/>
      <c r="Z83" s="752"/>
      <c r="AA83" s="752"/>
      <c r="AB83" s="752"/>
      <c r="AC83" s="752"/>
      <c r="AD83" s="752"/>
      <c r="AE83" s="752"/>
      <c r="AF83" s="752"/>
      <c r="AG83" s="752"/>
      <c r="AH83" s="753"/>
    </row>
    <row r="84" spans="2:34" ht="30.95" customHeight="1">
      <c r="B84" s="80"/>
      <c r="C84" s="1375" t="s">
        <v>859</v>
      </c>
      <c r="D84" s="1376"/>
      <c r="E84" s="1373" t="s">
        <v>855</v>
      </c>
      <c r="F84" s="1374"/>
      <c r="G84" s="397">
        <f>ejercicio-1</f>
        <v>2024</v>
      </c>
      <c r="H84" s="386" t="s">
        <v>885</v>
      </c>
      <c r="I84" s="399" t="s">
        <v>886</v>
      </c>
      <c r="J84" s="398">
        <f>ejercicio</f>
        <v>2025</v>
      </c>
      <c r="K84" s="386" t="s">
        <v>885</v>
      </c>
      <c r="L84" s="399" t="s">
        <v>886</v>
      </c>
      <c r="M84" s="386">
        <f>ejercicio-1</f>
        <v>2024</v>
      </c>
      <c r="N84" s="386">
        <f>ejercicio</f>
        <v>2025</v>
      </c>
      <c r="O84" s="386" t="s">
        <v>862</v>
      </c>
      <c r="P84" s="386" t="s">
        <v>863</v>
      </c>
      <c r="Q84" s="386" t="s">
        <v>864</v>
      </c>
      <c r="R84" s="386" t="s">
        <v>865</v>
      </c>
      <c r="S84" s="72"/>
      <c r="U84" s="751"/>
      <c r="V84" s="752"/>
      <c r="W84" s="752"/>
      <c r="X84" s="752"/>
      <c r="Y84" s="796"/>
      <c r="Z84" s="752"/>
      <c r="AA84" s="752"/>
      <c r="AB84" s="752"/>
      <c r="AC84" s="752"/>
      <c r="AD84" s="752"/>
      <c r="AE84" s="752"/>
      <c r="AF84" s="752"/>
      <c r="AG84" s="752"/>
      <c r="AH84" s="753"/>
    </row>
    <row r="85" spans="2:34" ht="23.1" customHeight="1">
      <c r="B85" s="80"/>
      <c r="C85" s="1388"/>
      <c r="D85" s="1389"/>
      <c r="E85" s="1137"/>
      <c r="F85" s="1139"/>
      <c r="G85" s="645">
        <f t="shared" ref="G85:G90" si="5">SUM(H85:I85)</f>
        <v>0</v>
      </c>
      <c r="H85" s="648"/>
      <c r="I85" s="649"/>
      <c r="J85" s="645">
        <f t="shared" ref="J85:J90" si="6">SUM(K85:L85)</f>
        <v>0</v>
      </c>
      <c r="K85" s="654"/>
      <c r="L85" s="655"/>
      <c r="M85" s="654"/>
      <c r="N85" s="654"/>
      <c r="O85" s="710"/>
      <c r="P85" s="710"/>
      <c r="Q85" s="1023"/>
      <c r="R85" s="808"/>
      <c r="S85" s="72"/>
      <c r="U85" s="751" t="str">
        <f t="shared" ref="U85:U90" si="7">IF(AND((G85=M85),(J85=N85)),"","----&gt;  Explicar")</f>
        <v/>
      </c>
      <c r="V85" s="752"/>
      <c r="W85" s="752"/>
      <c r="X85" s="752"/>
      <c r="Y85" s="796"/>
      <c r="Z85" s="752"/>
      <c r="AA85" s="752"/>
      <c r="AB85" s="752"/>
      <c r="AC85" s="752"/>
      <c r="AD85" s="752"/>
      <c r="AE85" s="752"/>
      <c r="AF85" s="752"/>
      <c r="AG85" s="752"/>
      <c r="AH85" s="753"/>
    </row>
    <row r="86" spans="2:34" ht="23.1" customHeight="1">
      <c r="B86" s="80"/>
      <c r="C86" s="1382"/>
      <c r="D86" s="1383"/>
      <c r="E86" s="1137"/>
      <c r="F86" s="1139"/>
      <c r="G86" s="646">
        <f t="shared" si="5"/>
        <v>0</v>
      </c>
      <c r="H86" s="650"/>
      <c r="I86" s="651"/>
      <c r="J86" s="126">
        <f t="shared" si="6"/>
        <v>0</v>
      </c>
      <c r="K86" s="656"/>
      <c r="L86" s="657"/>
      <c r="M86" s="656"/>
      <c r="N86" s="656"/>
      <c r="O86" s="711"/>
      <c r="P86" s="711"/>
      <c r="Q86" s="1024"/>
      <c r="R86" s="809"/>
      <c r="S86" s="72"/>
      <c r="U86" s="751" t="str">
        <f t="shared" si="7"/>
        <v/>
      </c>
      <c r="V86" s="752"/>
      <c r="W86" s="752"/>
      <c r="X86" s="752"/>
      <c r="Y86" s="796"/>
      <c r="Z86" s="752"/>
      <c r="AA86" s="752"/>
      <c r="AB86" s="752"/>
      <c r="AC86" s="752"/>
      <c r="AD86" s="752"/>
      <c r="AE86" s="752"/>
      <c r="AF86" s="752"/>
      <c r="AG86" s="752"/>
      <c r="AH86" s="753"/>
    </row>
    <row r="87" spans="2:34" ht="23.1" customHeight="1">
      <c r="B87" s="80"/>
      <c r="C87" s="1382"/>
      <c r="D87" s="1383"/>
      <c r="E87" s="1137"/>
      <c r="F87" s="1139"/>
      <c r="G87" s="646">
        <f t="shared" si="5"/>
        <v>0</v>
      </c>
      <c r="H87" s="650"/>
      <c r="I87" s="651"/>
      <c r="J87" s="126">
        <f t="shared" si="6"/>
        <v>0</v>
      </c>
      <c r="K87" s="656"/>
      <c r="L87" s="657"/>
      <c r="M87" s="656"/>
      <c r="N87" s="656"/>
      <c r="O87" s="711"/>
      <c r="P87" s="711"/>
      <c r="Q87" s="1024"/>
      <c r="R87" s="809"/>
      <c r="S87" s="72"/>
      <c r="U87" s="751" t="str">
        <f t="shared" si="7"/>
        <v/>
      </c>
      <c r="V87" s="752"/>
      <c r="W87" s="752"/>
      <c r="X87" s="752"/>
      <c r="Y87" s="796"/>
      <c r="Z87" s="752"/>
      <c r="AA87" s="752"/>
      <c r="AB87" s="752"/>
      <c r="AC87" s="752"/>
      <c r="AD87" s="752"/>
      <c r="AE87" s="752"/>
      <c r="AF87" s="752"/>
      <c r="AG87" s="752"/>
      <c r="AH87" s="753"/>
    </row>
    <row r="88" spans="2:34" ht="23.1" customHeight="1">
      <c r="B88" s="80"/>
      <c r="C88" s="1382"/>
      <c r="D88" s="1383"/>
      <c r="E88" s="1137"/>
      <c r="F88" s="1139"/>
      <c r="G88" s="646">
        <f t="shared" si="5"/>
        <v>0</v>
      </c>
      <c r="H88" s="650"/>
      <c r="I88" s="651"/>
      <c r="J88" s="126">
        <f t="shared" si="6"/>
        <v>0</v>
      </c>
      <c r="K88" s="656"/>
      <c r="L88" s="657"/>
      <c r="M88" s="656"/>
      <c r="N88" s="656"/>
      <c r="O88" s="711"/>
      <c r="P88" s="711"/>
      <c r="Q88" s="1024"/>
      <c r="R88" s="809"/>
      <c r="S88" s="72"/>
      <c r="U88" s="751" t="str">
        <f t="shared" si="7"/>
        <v/>
      </c>
      <c r="V88" s="752"/>
      <c r="W88" s="752"/>
      <c r="X88" s="752"/>
      <c r="Y88" s="796"/>
      <c r="Z88" s="752"/>
      <c r="AA88" s="752"/>
      <c r="AB88" s="752"/>
      <c r="AC88" s="752"/>
      <c r="AD88" s="752"/>
      <c r="AE88" s="752"/>
      <c r="AF88" s="752"/>
      <c r="AG88" s="752"/>
      <c r="AH88" s="753"/>
    </row>
    <row r="89" spans="2:34" ht="23.1" customHeight="1">
      <c r="B89" s="80"/>
      <c r="C89" s="1382"/>
      <c r="D89" s="1383"/>
      <c r="E89" s="1137"/>
      <c r="F89" s="1139"/>
      <c r="G89" s="646">
        <f t="shared" si="5"/>
        <v>0</v>
      </c>
      <c r="H89" s="650"/>
      <c r="I89" s="651"/>
      <c r="J89" s="126">
        <f t="shared" si="6"/>
        <v>0</v>
      </c>
      <c r="K89" s="656"/>
      <c r="L89" s="657"/>
      <c r="M89" s="600"/>
      <c r="N89" s="600"/>
      <c r="O89" s="715"/>
      <c r="P89" s="715"/>
      <c r="Q89" s="1025"/>
      <c r="R89" s="812"/>
      <c r="S89" s="72"/>
      <c r="U89" s="751" t="str">
        <f t="shared" si="7"/>
        <v/>
      </c>
      <c r="V89" s="752"/>
      <c r="W89" s="797"/>
      <c r="X89" s="797"/>
      <c r="Y89" s="796"/>
      <c r="Z89" s="752"/>
      <c r="AA89" s="752"/>
      <c r="AB89" s="752"/>
      <c r="AC89" s="752"/>
      <c r="AD89" s="752"/>
      <c r="AE89" s="752"/>
      <c r="AF89" s="752"/>
      <c r="AG89" s="752"/>
      <c r="AH89" s="753"/>
    </row>
    <row r="90" spans="2:34" ht="23.1" customHeight="1">
      <c r="B90" s="80"/>
      <c r="C90" s="1390"/>
      <c r="D90" s="1391"/>
      <c r="E90" s="1137"/>
      <c r="F90" s="1139"/>
      <c r="G90" s="647">
        <f t="shared" si="5"/>
        <v>0</v>
      </c>
      <c r="H90" s="652"/>
      <c r="I90" s="653"/>
      <c r="J90" s="122">
        <f t="shared" si="6"/>
        <v>0</v>
      </c>
      <c r="K90" s="658"/>
      <c r="L90" s="659"/>
      <c r="M90" s="658"/>
      <c r="N90" s="658"/>
      <c r="O90" s="714"/>
      <c r="P90" s="714"/>
      <c r="Q90" s="1026"/>
      <c r="R90" s="811"/>
      <c r="S90" s="72"/>
      <c r="U90" s="751" t="str">
        <f t="shared" si="7"/>
        <v/>
      </c>
      <c r="V90" s="752"/>
      <c r="W90" s="797"/>
      <c r="X90" s="797"/>
      <c r="Y90" s="796"/>
      <c r="Z90" s="752"/>
      <c r="AA90" s="752"/>
      <c r="AB90" s="752"/>
      <c r="AC90" s="752"/>
      <c r="AD90" s="752"/>
      <c r="AE90" s="752"/>
      <c r="AF90" s="752"/>
      <c r="AG90" s="752"/>
      <c r="AH90" s="753"/>
    </row>
    <row r="91" spans="2:34" ht="23.1" customHeight="1" thickBot="1">
      <c r="B91" s="80"/>
      <c r="C91" s="1279" t="s">
        <v>887</v>
      </c>
      <c r="D91" s="1280"/>
      <c r="E91" s="1280"/>
      <c r="F91" s="1281"/>
      <c r="G91" s="119">
        <f t="shared" ref="G91:N91" si="8">SUM(G85:G90)</f>
        <v>0</v>
      </c>
      <c r="H91" s="119">
        <f t="shared" si="8"/>
        <v>0</v>
      </c>
      <c r="I91" s="119">
        <f t="shared" si="8"/>
        <v>0</v>
      </c>
      <c r="J91" s="119">
        <f t="shared" si="8"/>
        <v>0</v>
      </c>
      <c r="K91" s="119">
        <f t="shared" si="8"/>
        <v>0</v>
      </c>
      <c r="L91" s="119">
        <f t="shared" si="8"/>
        <v>0</v>
      </c>
      <c r="M91" s="119">
        <f t="shared" si="8"/>
        <v>0</v>
      </c>
      <c r="N91" s="119">
        <f t="shared" si="8"/>
        <v>0</v>
      </c>
      <c r="O91" s="148"/>
      <c r="P91" s="108"/>
      <c r="Q91" s="108"/>
      <c r="R91" s="108"/>
      <c r="S91" s="72"/>
      <c r="U91" s="751"/>
      <c r="V91" s="752"/>
      <c r="W91" s="752"/>
      <c r="X91" s="752"/>
      <c r="Y91" s="752"/>
      <c r="Z91" s="752"/>
      <c r="AA91" s="752"/>
      <c r="AB91" s="752"/>
      <c r="AC91" s="752"/>
      <c r="AD91" s="752"/>
      <c r="AE91" s="752"/>
      <c r="AF91" s="752"/>
      <c r="AG91" s="752"/>
      <c r="AH91" s="753"/>
    </row>
    <row r="92" spans="2:34" ht="23.1" customHeight="1">
      <c r="B92" s="80"/>
      <c r="C92" s="597"/>
      <c r="D92" s="597"/>
      <c r="E92" s="150"/>
      <c r="F92" s="601" t="s">
        <v>888</v>
      </c>
      <c r="G92" s="150">
        <f>SUMIF(E85:E90,"Cabildo Insular de Tenerife",G85:G90)</f>
        <v>0</v>
      </c>
      <c r="H92" s="150">
        <f>SUMIF(E85:E90,"Cabildo Insular de Tenerife",H85:H90)</f>
        <v>0</v>
      </c>
      <c r="I92" s="150">
        <f>SUMIF(E85:E90,"Cabildo Insular de Tenerife",I85:I90)</f>
        <v>0</v>
      </c>
      <c r="J92" s="150">
        <f>SUMIF(E85:E90,"Cabildo Insular de Tenerife",J85:J90)</f>
        <v>0</v>
      </c>
      <c r="K92" s="150">
        <f>SUMIF(E85:E90,"Cabildo Insular de Tenerife",K85:K90)</f>
        <v>0</v>
      </c>
      <c r="L92" s="150">
        <f>SUMIF(E85:E90,"Cabildo Insular de Tenerife",L85:L90)</f>
        <v>0</v>
      </c>
      <c r="M92" s="431"/>
      <c r="N92" s="431"/>
      <c r="O92" s="431"/>
      <c r="P92" s="431"/>
      <c r="Q92" s="431"/>
      <c r="R92" s="431"/>
      <c r="S92" s="72"/>
      <c r="U92" s="751"/>
      <c r="V92" s="752"/>
      <c r="W92" s="752"/>
      <c r="X92" s="752"/>
      <c r="Y92" s="752"/>
      <c r="Z92" s="752"/>
      <c r="AA92" s="752"/>
      <c r="AB92" s="752"/>
      <c r="AC92" s="752"/>
      <c r="AD92" s="752"/>
      <c r="AE92" s="752"/>
      <c r="AF92" s="752"/>
      <c r="AG92" s="752"/>
      <c r="AH92" s="753"/>
    </row>
    <row r="93" spans="2:34" ht="23.1" customHeight="1">
      <c r="B93" s="80"/>
      <c r="C93" s="597"/>
      <c r="D93" s="597"/>
      <c r="E93" s="150"/>
      <c r="F93" s="150"/>
      <c r="G93" s="494"/>
      <c r="H93" s="494"/>
      <c r="I93" s="494"/>
      <c r="J93" s="494"/>
      <c r="K93" s="150"/>
      <c r="L93" s="150"/>
      <c r="M93" s="431"/>
      <c r="N93" s="431"/>
      <c r="O93" s="431"/>
      <c r="P93" s="431"/>
      <c r="Q93" s="431"/>
      <c r="R93" s="431"/>
      <c r="S93" s="72"/>
      <c r="U93" s="751"/>
      <c r="V93" s="752"/>
      <c r="W93" s="752"/>
      <c r="X93" s="752"/>
      <c r="Y93" s="752"/>
      <c r="Z93" s="752"/>
      <c r="AA93" s="752"/>
      <c r="AB93" s="752"/>
      <c r="AC93" s="752"/>
      <c r="AD93" s="752"/>
      <c r="AE93" s="752"/>
      <c r="AF93" s="752"/>
      <c r="AG93" s="752"/>
      <c r="AH93" s="753"/>
    </row>
    <row r="94" spans="2:34" s="79" customFormat="1" ht="30" customHeight="1">
      <c r="B94" s="75"/>
      <c r="C94" s="38" t="s">
        <v>889</v>
      </c>
      <c r="D94" s="8"/>
      <c r="E94" s="64"/>
      <c r="F94" s="64"/>
      <c r="G94" s="64"/>
      <c r="H94" s="64"/>
      <c r="I94" s="64"/>
      <c r="J94" s="64"/>
      <c r="K94" s="64"/>
      <c r="L94" s="64"/>
      <c r="M94" s="64"/>
      <c r="N94" s="64"/>
      <c r="O94" s="64"/>
      <c r="P94" s="64"/>
      <c r="Q94" s="64"/>
      <c r="R94" s="64"/>
      <c r="S94" s="78"/>
      <c r="U94" s="751"/>
      <c r="V94" s="752"/>
      <c r="W94" s="752"/>
      <c r="X94" s="752"/>
      <c r="Y94" s="752"/>
      <c r="Z94" s="752"/>
      <c r="AA94" s="752"/>
      <c r="AB94" s="752"/>
      <c r="AC94" s="752"/>
      <c r="AD94" s="752"/>
      <c r="AE94" s="752"/>
      <c r="AF94" s="752"/>
      <c r="AG94" s="752"/>
      <c r="AH94" s="753"/>
    </row>
    <row r="95" spans="2:34" ht="38.1" customHeight="1">
      <c r="B95" s="80"/>
      <c r="C95" s="1353" t="s">
        <v>854</v>
      </c>
      <c r="D95" s="1355"/>
      <c r="E95" s="1364" t="s">
        <v>851</v>
      </c>
      <c r="F95" s="1365"/>
      <c r="G95" s="386">
        <f>ejercicio-1</f>
        <v>2024</v>
      </c>
      <c r="H95" s="386">
        <f>ejercicio</f>
        <v>2025</v>
      </c>
      <c r="I95" s="386" t="s">
        <v>862</v>
      </c>
      <c r="J95" s="386" t="s">
        <v>863</v>
      </c>
      <c r="K95" s="386" t="s">
        <v>864</v>
      </c>
      <c r="L95" s="386" t="s">
        <v>890</v>
      </c>
      <c r="M95" s="65"/>
      <c r="N95" s="65"/>
      <c r="O95" s="65"/>
      <c r="P95" s="65"/>
      <c r="Q95" s="65"/>
      <c r="R95" s="65"/>
      <c r="S95" s="72"/>
      <c r="U95" s="751"/>
      <c r="V95" s="752"/>
      <c r="W95" s="752"/>
      <c r="X95" s="752"/>
      <c r="Y95" s="752"/>
      <c r="Z95" s="752"/>
      <c r="AA95" s="752"/>
      <c r="AB95" s="752"/>
      <c r="AC95" s="752"/>
      <c r="AD95" s="752"/>
      <c r="AE95" s="752"/>
      <c r="AF95" s="752"/>
      <c r="AG95" s="752"/>
      <c r="AH95" s="753"/>
    </row>
    <row r="96" spans="2:34" ht="23.1" customHeight="1">
      <c r="B96" s="80"/>
      <c r="C96" s="1388"/>
      <c r="D96" s="1389"/>
      <c r="E96" s="1288"/>
      <c r="F96" s="1290"/>
      <c r="G96" s="648"/>
      <c r="H96" s="913"/>
      <c r="I96" s="710"/>
      <c r="J96" s="710"/>
      <c r="K96" s="710"/>
      <c r="L96" s="808"/>
      <c r="M96" s="65"/>
      <c r="N96" s="65"/>
      <c r="O96" s="65"/>
      <c r="P96" s="65"/>
      <c r="Q96" s="65"/>
      <c r="R96" s="65"/>
      <c r="S96" s="72"/>
      <c r="U96" s="751"/>
      <c r="V96" s="752"/>
      <c r="W96" s="752"/>
      <c r="X96" s="752"/>
      <c r="Y96" s="752"/>
      <c r="Z96" s="752"/>
      <c r="AA96" s="752"/>
      <c r="AB96" s="752"/>
      <c r="AC96" s="752"/>
      <c r="AD96" s="752"/>
      <c r="AE96" s="752"/>
      <c r="AF96" s="752"/>
      <c r="AG96" s="752"/>
      <c r="AH96" s="753"/>
    </row>
    <row r="97" spans="2:34" ht="23.1" customHeight="1">
      <c r="B97" s="80"/>
      <c r="C97" s="1382"/>
      <c r="D97" s="1383"/>
      <c r="E97" s="1288"/>
      <c r="F97" s="1290"/>
      <c r="G97" s="650"/>
      <c r="H97" s="926"/>
      <c r="I97" s="711"/>
      <c r="J97" s="711"/>
      <c r="K97" s="711"/>
      <c r="L97" s="809"/>
      <c r="M97" s="65"/>
      <c r="N97" s="65"/>
      <c r="O97" s="65"/>
      <c r="P97" s="65"/>
      <c r="Q97" s="65"/>
      <c r="R97" s="65"/>
      <c r="S97" s="72"/>
      <c r="U97" s="751"/>
      <c r="V97" s="752"/>
      <c r="W97" s="752"/>
      <c r="X97" s="752"/>
      <c r="Y97" s="752"/>
      <c r="Z97" s="752"/>
      <c r="AA97" s="752"/>
      <c r="AB97" s="752"/>
      <c r="AC97" s="752"/>
      <c r="AD97" s="752"/>
      <c r="AE97" s="752"/>
      <c r="AF97" s="752"/>
      <c r="AG97" s="752"/>
      <c r="AH97" s="753"/>
    </row>
    <row r="98" spans="2:34" ht="23.1" customHeight="1">
      <c r="B98" s="80"/>
      <c r="C98" s="1382"/>
      <c r="D98" s="1383"/>
      <c r="E98" s="1288"/>
      <c r="F98" s="1290"/>
      <c r="G98" s="650"/>
      <c r="H98" s="926"/>
      <c r="I98" s="711"/>
      <c r="J98" s="711"/>
      <c r="K98" s="711"/>
      <c r="L98" s="809"/>
      <c r="M98" s="65"/>
      <c r="N98" s="65"/>
      <c r="O98" s="65"/>
      <c r="P98" s="65"/>
      <c r="Q98" s="65"/>
      <c r="R98" s="65"/>
      <c r="S98" s="72"/>
      <c r="U98" s="751"/>
      <c r="V98" s="752"/>
      <c r="W98" s="752"/>
      <c r="X98" s="752"/>
      <c r="Y98" s="752"/>
      <c r="Z98" s="752"/>
      <c r="AA98" s="752"/>
      <c r="AB98" s="752"/>
      <c r="AC98" s="752"/>
      <c r="AD98" s="752"/>
      <c r="AE98" s="752"/>
      <c r="AF98" s="752"/>
      <c r="AG98" s="752"/>
      <c r="AH98" s="753"/>
    </row>
    <row r="99" spans="2:34" ht="23.1" customHeight="1">
      <c r="B99" s="80"/>
      <c r="C99" s="1382"/>
      <c r="D99" s="1383"/>
      <c r="E99" s="1288"/>
      <c r="F99" s="1290"/>
      <c r="G99" s="650"/>
      <c r="H99" s="926"/>
      <c r="I99" s="711"/>
      <c r="J99" s="711"/>
      <c r="K99" s="711"/>
      <c r="L99" s="809"/>
      <c r="M99" s="65"/>
      <c r="N99" s="65"/>
      <c r="O99" s="65"/>
      <c r="P99" s="65"/>
      <c r="Q99" s="65"/>
      <c r="R99" s="65"/>
      <c r="S99" s="72"/>
      <c r="U99" s="751"/>
      <c r="V99" s="752"/>
      <c r="W99" s="752"/>
      <c r="X99" s="752"/>
      <c r="Y99" s="752"/>
      <c r="Z99" s="752"/>
      <c r="AA99" s="752"/>
      <c r="AB99" s="752"/>
      <c r="AC99" s="752"/>
      <c r="AD99" s="752"/>
      <c r="AE99" s="752"/>
      <c r="AF99" s="752"/>
      <c r="AG99" s="752"/>
      <c r="AH99" s="753"/>
    </row>
    <row r="100" spans="2:34" ht="23.1" customHeight="1">
      <c r="B100" s="80"/>
      <c r="C100" s="1390"/>
      <c r="D100" s="1391"/>
      <c r="E100" s="1288"/>
      <c r="F100" s="1290"/>
      <c r="G100" s="652"/>
      <c r="H100" s="911"/>
      <c r="I100" s="714"/>
      <c r="J100" s="714"/>
      <c r="K100" s="714"/>
      <c r="L100" s="811"/>
      <c r="M100" s="65"/>
      <c r="N100" s="65"/>
      <c r="O100" s="65"/>
      <c r="P100" s="65"/>
      <c r="Q100" s="65"/>
      <c r="R100" s="65"/>
      <c r="S100" s="72"/>
      <c r="U100" s="751"/>
      <c r="V100" s="752"/>
      <c r="W100" s="752"/>
      <c r="X100" s="752"/>
      <c r="Y100" s="752"/>
      <c r="Z100" s="752"/>
      <c r="AA100" s="752"/>
      <c r="AB100" s="752"/>
      <c r="AC100" s="752"/>
      <c r="AD100" s="752"/>
      <c r="AE100" s="752"/>
      <c r="AF100" s="752"/>
      <c r="AG100" s="752"/>
      <c r="AH100" s="753"/>
    </row>
    <row r="101" spans="2:34" ht="23.1" customHeight="1" thickBot="1">
      <c r="B101" s="80"/>
      <c r="C101" s="1279" t="s">
        <v>891</v>
      </c>
      <c r="D101" s="1280"/>
      <c r="E101" s="1280"/>
      <c r="F101" s="1281"/>
      <c r="G101" s="119">
        <f>SUM(G96:G100)</f>
        <v>0</v>
      </c>
      <c r="H101" s="119">
        <f>SUM(H96:H100)</f>
        <v>0</v>
      </c>
      <c r="I101" s="64"/>
      <c r="J101" s="64"/>
      <c r="K101" s="116"/>
      <c r="L101" s="108"/>
      <c r="M101" s="108"/>
      <c r="N101" s="108"/>
      <c r="O101" s="108"/>
      <c r="P101" s="108"/>
      <c r="Q101" s="108"/>
      <c r="R101" s="108"/>
      <c r="S101" s="72"/>
      <c r="U101" s="751"/>
      <c r="V101" s="752"/>
      <c r="W101" s="752"/>
      <c r="X101" s="752"/>
      <c r="Y101" s="752"/>
      <c r="Z101" s="752"/>
      <c r="AA101" s="752"/>
      <c r="AB101" s="752"/>
      <c r="AC101" s="752"/>
      <c r="AD101" s="752"/>
      <c r="AE101" s="752"/>
      <c r="AF101" s="752"/>
      <c r="AG101" s="752"/>
      <c r="AH101" s="753"/>
    </row>
    <row r="102" spans="2:34" ht="23.1" customHeight="1">
      <c r="B102" s="80"/>
      <c r="C102" s="597"/>
      <c r="D102" s="597"/>
      <c r="E102" s="150"/>
      <c r="F102" s="150"/>
      <c r="G102" s="494"/>
      <c r="H102" s="494"/>
      <c r="I102" s="494"/>
      <c r="J102" s="494"/>
      <c r="K102" s="494"/>
      <c r="L102" s="64"/>
      <c r="M102" s="64"/>
      <c r="N102" s="116"/>
      <c r="O102" s="150"/>
      <c r="P102" s="431"/>
      <c r="Q102" s="431"/>
      <c r="R102" s="431"/>
      <c r="S102" s="72"/>
      <c r="U102" s="751"/>
      <c r="V102" s="752"/>
      <c r="W102" s="752"/>
      <c r="X102" s="752"/>
      <c r="Y102" s="752"/>
      <c r="Z102" s="752"/>
      <c r="AA102" s="752"/>
      <c r="AB102" s="752"/>
      <c r="AC102" s="752"/>
      <c r="AD102" s="752"/>
      <c r="AE102" s="752"/>
      <c r="AF102" s="752"/>
      <c r="AG102" s="752"/>
      <c r="AH102" s="753"/>
    </row>
    <row r="103" spans="2:34" ht="23.1" customHeight="1">
      <c r="B103" s="80"/>
      <c r="C103" s="117" t="s">
        <v>892</v>
      </c>
      <c r="D103" s="115"/>
      <c r="E103" s="116"/>
      <c r="F103" s="116"/>
      <c r="G103" s="116"/>
      <c r="H103" s="116"/>
      <c r="I103" s="116"/>
      <c r="J103" s="116"/>
      <c r="K103" s="116"/>
      <c r="L103" s="64"/>
      <c r="M103" s="64"/>
      <c r="N103" s="116"/>
      <c r="O103" s="116"/>
      <c r="P103" s="64"/>
      <c r="Q103" s="64"/>
      <c r="R103" s="64"/>
      <c r="S103" s="72"/>
      <c r="U103" s="751"/>
      <c r="V103" s="752"/>
      <c r="W103" s="752"/>
      <c r="X103" s="752"/>
      <c r="Y103" s="752"/>
      <c r="Z103" s="752"/>
      <c r="AA103" s="752"/>
      <c r="AB103" s="752"/>
      <c r="AC103" s="752"/>
      <c r="AD103" s="752"/>
      <c r="AE103" s="752"/>
      <c r="AF103" s="752"/>
      <c r="AG103" s="752"/>
      <c r="AH103" s="753"/>
    </row>
    <row r="104" spans="2:34" ht="18">
      <c r="B104" s="80"/>
      <c r="C104" s="377"/>
      <c r="D104" s="377"/>
      <c r="E104" s="378"/>
      <c r="F104" s="378"/>
      <c r="G104" s="378"/>
      <c r="H104" s="378"/>
      <c r="I104" s="378"/>
      <c r="J104" s="378"/>
      <c r="K104" s="378"/>
      <c r="L104" s="378"/>
      <c r="M104" s="378"/>
      <c r="N104" s="378"/>
      <c r="O104" s="378"/>
      <c r="P104" s="379"/>
      <c r="Q104" s="633"/>
      <c r="R104" s="633"/>
      <c r="S104" s="72"/>
      <c r="U104" s="751"/>
      <c r="V104" s="752"/>
      <c r="W104" s="752"/>
      <c r="X104" s="752"/>
      <c r="Y104" s="752"/>
      <c r="Z104" s="752"/>
      <c r="AA104" s="752"/>
      <c r="AB104" s="752"/>
      <c r="AC104" s="752"/>
      <c r="AD104" s="752"/>
      <c r="AE104" s="752"/>
      <c r="AF104" s="752"/>
      <c r="AG104" s="752"/>
      <c r="AH104" s="753"/>
    </row>
    <row r="105" spans="2:34" ht="18">
      <c r="B105" s="80"/>
      <c r="C105" s="380"/>
      <c r="D105" s="380"/>
      <c r="E105" s="381"/>
      <c r="F105" s="381"/>
      <c r="G105" s="381"/>
      <c r="H105" s="381"/>
      <c r="I105" s="381"/>
      <c r="J105" s="381"/>
      <c r="K105" s="381"/>
      <c r="L105" s="381"/>
      <c r="M105" s="381"/>
      <c r="N105" s="381"/>
      <c r="O105" s="381"/>
      <c r="P105" s="382"/>
      <c r="Q105" s="633"/>
      <c r="R105" s="633"/>
      <c r="S105" s="72"/>
      <c r="U105" s="751"/>
      <c r="V105" s="752"/>
      <c r="W105" s="752"/>
      <c r="X105" s="752"/>
      <c r="Y105" s="752"/>
      <c r="Z105" s="752"/>
      <c r="AA105" s="752"/>
      <c r="AB105" s="752"/>
      <c r="AC105" s="752"/>
      <c r="AD105" s="752"/>
      <c r="AE105" s="752"/>
      <c r="AF105" s="752"/>
      <c r="AG105" s="752"/>
      <c r="AH105" s="753"/>
    </row>
    <row r="106" spans="2:34" ht="18">
      <c r="B106" s="80"/>
      <c r="C106" s="380"/>
      <c r="D106" s="380"/>
      <c r="E106" s="381"/>
      <c r="F106" s="381"/>
      <c r="G106" s="381"/>
      <c r="H106" s="381"/>
      <c r="I106" s="381"/>
      <c r="J106" s="381"/>
      <c r="K106" s="381"/>
      <c r="L106" s="381"/>
      <c r="M106" s="381"/>
      <c r="N106" s="381"/>
      <c r="O106" s="381"/>
      <c r="P106" s="382"/>
      <c r="Q106" s="633"/>
      <c r="R106" s="633"/>
      <c r="S106" s="72"/>
      <c r="U106" s="751"/>
      <c r="V106" s="752"/>
      <c r="W106" s="752"/>
      <c r="X106" s="752"/>
      <c r="Y106" s="752"/>
      <c r="Z106" s="752"/>
      <c r="AA106" s="752"/>
      <c r="AB106" s="752"/>
      <c r="AC106" s="752"/>
      <c r="AD106" s="752"/>
      <c r="AE106" s="752"/>
      <c r="AF106" s="752"/>
      <c r="AG106" s="752"/>
      <c r="AH106" s="753"/>
    </row>
    <row r="107" spans="2:34" ht="18">
      <c r="B107" s="80"/>
      <c r="C107" s="380"/>
      <c r="D107" s="380"/>
      <c r="E107" s="381"/>
      <c r="F107" s="381"/>
      <c r="G107" s="381"/>
      <c r="H107" s="381"/>
      <c r="I107" s="381"/>
      <c r="J107" s="381"/>
      <c r="K107" s="381"/>
      <c r="L107" s="381"/>
      <c r="M107" s="381"/>
      <c r="N107" s="381"/>
      <c r="O107" s="381"/>
      <c r="P107" s="382"/>
      <c r="Q107" s="633"/>
      <c r="R107" s="633"/>
      <c r="S107" s="72"/>
      <c r="U107" s="751"/>
      <c r="V107" s="752"/>
      <c r="W107" s="752"/>
      <c r="X107" s="752"/>
      <c r="Y107" s="752"/>
      <c r="Z107" s="752"/>
      <c r="AA107" s="752"/>
      <c r="AB107" s="752"/>
      <c r="AC107" s="752"/>
      <c r="AD107" s="752"/>
      <c r="AE107" s="752"/>
      <c r="AF107" s="752"/>
      <c r="AG107" s="752"/>
      <c r="AH107" s="753"/>
    </row>
    <row r="108" spans="2:34" ht="18">
      <c r="B108" s="80"/>
      <c r="C108" s="380"/>
      <c r="D108" s="380"/>
      <c r="E108" s="381"/>
      <c r="F108" s="381"/>
      <c r="G108" s="381"/>
      <c r="H108" s="381"/>
      <c r="I108" s="381"/>
      <c r="J108" s="381"/>
      <c r="K108" s="381"/>
      <c r="L108" s="381"/>
      <c r="M108" s="381"/>
      <c r="N108" s="381"/>
      <c r="O108" s="381"/>
      <c r="P108" s="382"/>
      <c r="Q108" s="633"/>
      <c r="R108" s="633"/>
      <c r="S108" s="72"/>
      <c r="U108" s="751"/>
      <c r="V108" s="752"/>
      <c r="W108" s="752"/>
      <c r="X108" s="752"/>
      <c r="Y108" s="752"/>
      <c r="Z108" s="752"/>
      <c r="AA108" s="752"/>
      <c r="AB108" s="752"/>
      <c r="AC108" s="752"/>
      <c r="AD108" s="752"/>
      <c r="AE108" s="752"/>
      <c r="AF108" s="752"/>
      <c r="AG108" s="752"/>
      <c r="AH108" s="753"/>
    </row>
    <row r="109" spans="2:34" ht="18">
      <c r="B109" s="80"/>
      <c r="C109" s="380"/>
      <c r="D109" s="380"/>
      <c r="E109" s="381"/>
      <c r="F109" s="381"/>
      <c r="G109" s="381"/>
      <c r="H109" s="381"/>
      <c r="I109" s="381"/>
      <c r="J109" s="381"/>
      <c r="K109" s="381"/>
      <c r="L109" s="381"/>
      <c r="M109" s="381"/>
      <c r="N109" s="381"/>
      <c r="O109" s="381"/>
      <c r="P109" s="382"/>
      <c r="Q109" s="633"/>
      <c r="R109" s="633"/>
      <c r="S109" s="72"/>
      <c r="U109" s="751"/>
      <c r="V109" s="752"/>
      <c r="W109" s="752"/>
      <c r="X109" s="752"/>
      <c r="Y109" s="752"/>
      <c r="Z109" s="752"/>
      <c r="AA109" s="752"/>
      <c r="AB109" s="752"/>
      <c r="AC109" s="752"/>
      <c r="AD109" s="752"/>
      <c r="AE109" s="752"/>
      <c r="AF109" s="752"/>
      <c r="AG109" s="752"/>
      <c r="AH109" s="753"/>
    </row>
    <row r="110" spans="2:34" ht="18">
      <c r="B110" s="80"/>
      <c r="C110" s="380"/>
      <c r="D110" s="380"/>
      <c r="E110" s="381"/>
      <c r="F110" s="381"/>
      <c r="G110" s="381"/>
      <c r="H110" s="381"/>
      <c r="I110" s="381"/>
      <c r="J110" s="381"/>
      <c r="K110" s="381"/>
      <c r="L110" s="381"/>
      <c r="M110" s="381"/>
      <c r="N110" s="381"/>
      <c r="O110" s="381"/>
      <c r="P110" s="382"/>
      <c r="Q110" s="633"/>
      <c r="R110" s="633"/>
      <c r="S110" s="72"/>
      <c r="U110" s="751"/>
      <c r="V110" s="752"/>
      <c r="W110" s="752"/>
      <c r="X110" s="752"/>
      <c r="Y110" s="752"/>
      <c r="Z110" s="752"/>
      <c r="AA110" s="752"/>
      <c r="AB110" s="752"/>
      <c r="AC110" s="752"/>
      <c r="AD110" s="752"/>
      <c r="AE110" s="752"/>
      <c r="AF110" s="752"/>
      <c r="AG110" s="752"/>
      <c r="AH110" s="753"/>
    </row>
    <row r="111" spans="2:34" ht="18">
      <c r="B111" s="80"/>
      <c r="C111" s="380"/>
      <c r="D111" s="380"/>
      <c r="E111" s="381"/>
      <c r="F111" s="381"/>
      <c r="G111" s="381"/>
      <c r="H111" s="381"/>
      <c r="I111" s="381"/>
      <c r="J111" s="381"/>
      <c r="K111" s="381"/>
      <c r="L111" s="381"/>
      <c r="M111" s="381"/>
      <c r="N111" s="381"/>
      <c r="O111" s="381"/>
      <c r="P111" s="382"/>
      <c r="Q111" s="633"/>
      <c r="R111" s="633"/>
      <c r="S111" s="72"/>
      <c r="U111" s="751"/>
      <c r="V111" s="752"/>
      <c r="W111" s="752"/>
      <c r="X111" s="752"/>
      <c r="Y111" s="752"/>
      <c r="Z111" s="752"/>
      <c r="AA111" s="752"/>
      <c r="AB111" s="752"/>
      <c r="AC111" s="752"/>
      <c r="AD111" s="752"/>
      <c r="AE111" s="752"/>
      <c r="AF111" s="752"/>
      <c r="AG111" s="752"/>
      <c r="AH111" s="753"/>
    </row>
    <row r="112" spans="2:34" ht="18">
      <c r="B112" s="80"/>
      <c r="C112" s="380"/>
      <c r="D112" s="380"/>
      <c r="E112" s="381"/>
      <c r="F112" s="381"/>
      <c r="G112" s="381"/>
      <c r="H112" s="381"/>
      <c r="I112" s="381"/>
      <c r="J112" s="381"/>
      <c r="K112" s="381"/>
      <c r="L112" s="381"/>
      <c r="M112" s="381"/>
      <c r="N112" s="381"/>
      <c r="O112" s="381"/>
      <c r="P112" s="382"/>
      <c r="Q112" s="633"/>
      <c r="R112" s="633"/>
      <c r="S112" s="72"/>
      <c r="U112" s="751"/>
      <c r="V112" s="752"/>
      <c r="W112" s="752"/>
      <c r="X112" s="752"/>
      <c r="Y112" s="752"/>
      <c r="Z112" s="752"/>
      <c r="AA112" s="752"/>
      <c r="AB112" s="752"/>
      <c r="AC112" s="752"/>
      <c r="AD112" s="752"/>
      <c r="AE112" s="752"/>
      <c r="AF112" s="752"/>
      <c r="AG112" s="752"/>
      <c r="AH112" s="753"/>
    </row>
    <row r="113" spans="2:34" ht="18">
      <c r="B113" s="80"/>
      <c r="C113" s="380"/>
      <c r="D113" s="380"/>
      <c r="E113" s="381"/>
      <c r="F113" s="381"/>
      <c r="G113" s="381"/>
      <c r="H113" s="381"/>
      <c r="I113" s="381"/>
      <c r="J113" s="381"/>
      <c r="K113" s="381"/>
      <c r="L113" s="381"/>
      <c r="M113" s="381"/>
      <c r="N113" s="381"/>
      <c r="O113" s="381"/>
      <c r="P113" s="382"/>
      <c r="Q113" s="633"/>
      <c r="R113" s="633"/>
      <c r="S113" s="72"/>
      <c r="U113" s="751"/>
      <c r="V113" s="752"/>
      <c r="W113" s="752"/>
      <c r="X113" s="752"/>
      <c r="Y113" s="752"/>
      <c r="Z113" s="752"/>
      <c r="AA113" s="752"/>
      <c r="AB113" s="752"/>
      <c r="AC113" s="752"/>
      <c r="AD113" s="752"/>
      <c r="AE113" s="752"/>
      <c r="AF113" s="752"/>
      <c r="AG113" s="752"/>
      <c r="AH113" s="753"/>
    </row>
    <row r="114" spans="2:34" ht="18">
      <c r="B114" s="80"/>
      <c r="C114" s="117" t="s">
        <v>893</v>
      </c>
      <c r="D114" s="115"/>
      <c r="E114" s="116"/>
      <c r="F114" s="116"/>
      <c r="G114" s="116"/>
      <c r="H114" s="116"/>
      <c r="I114" s="116"/>
      <c r="J114" s="116"/>
      <c r="K114" s="116"/>
      <c r="L114" s="116"/>
      <c r="M114" s="116"/>
      <c r="N114" s="116"/>
      <c r="O114" s="116"/>
      <c r="P114" s="64"/>
      <c r="Q114" s="64"/>
      <c r="R114" s="64"/>
      <c r="S114" s="72"/>
      <c r="U114" s="782"/>
      <c r="V114" s="783"/>
      <c r="W114" s="783"/>
      <c r="X114" s="783"/>
      <c r="Y114" s="783"/>
      <c r="Z114" s="783"/>
      <c r="AA114" s="783"/>
      <c r="AB114" s="783"/>
      <c r="AC114" s="783"/>
      <c r="AD114" s="783"/>
      <c r="AE114" s="783"/>
      <c r="AF114" s="783"/>
      <c r="AG114" s="783"/>
      <c r="AH114" s="784"/>
    </row>
    <row r="115" spans="2:34" ht="18">
      <c r="B115" s="80"/>
      <c r="C115" s="608" t="s">
        <v>894</v>
      </c>
      <c r="D115" s="115"/>
      <c r="E115" s="116"/>
      <c r="F115" s="116"/>
      <c r="G115" s="116"/>
      <c r="H115" s="116"/>
      <c r="I115" s="116"/>
      <c r="J115" s="116"/>
      <c r="K115" s="116"/>
      <c r="L115" s="116"/>
      <c r="M115" s="116"/>
      <c r="N115" s="116"/>
      <c r="O115" s="116"/>
      <c r="P115" s="64"/>
      <c r="Q115" s="64"/>
      <c r="R115" s="64"/>
      <c r="S115" s="72"/>
      <c r="U115" s="782"/>
      <c r="V115" s="783"/>
      <c r="W115" s="783"/>
      <c r="X115" s="783"/>
      <c r="Y115" s="783"/>
      <c r="Z115" s="783"/>
      <c r="AA115" s="783"/>
      <c r="AB115" s="783"/>
      <c r="AC115" s="783"/>
      <c r="AD115" s="783"/>
      <c r="AE115" s="783"/>
      <c r="AF115" s="783"/>
      <c r="AG115" s="783"/>
      <c r="AH115" s="784"/>
    </row>
    <row r="116" spans="2:34" ht="18">
      <c r="B116" s="80"/>
      <c r="C116" s="608" t="s">
        <v>895</v>
      </c>
      <c r="D116" s="115"/>
      <c r="E116" s="116"/>
      <c r="F116" s="116"/>
      <c r="G116" s="116"/>
      <c r="H116" s="116"/>
      <c r="I116" s="116"/>
      <c r="J116" s="116"/>
      <c r="K116" s="116"/>
      <c r="L116" s="116"/>
      <c r="M116" s="116"/>
      <c r="N116" s="116"/>
      <c r="O116" s="116"/>
      <c r="P116" s="64"/>
      <c r="Q116" s="64"/>
      <c r="R116" s="64"/>
      <c r="S116" s="72"/>
      <c r="U116" s="782"/>
      <c r="V116" s="783"/>
      <c r="W116" s="783"/>
      <c r="X116" s="783"/>
      <c r="Y116" s="783"/>
      <c r="Z116" s="783"/>
      <c r="AA116" s="783"/>
      <c r="AB116" s="783"/>
      <c r="AC116" s="783"/>
      <c r="AD116" s="783"/>
      <c r="AE116" s="783"/>
      <c r="AF116" s="783"/>
      <c r="AG116" s="783"/>
      <c r="AH116" s="784"/>
    </row>
    <row r="117" spans="2:34" ht="18">
      <c r="B117" s="80"/>
      <c r="C117" s="608" t="str">
        <f>"      En las notas siguientes, cuando se refiere a importes estimados son los correspondientes a: "&amp;ejercicio-1&amp;". "&amp;"Cuando se refiere a importes previsibles son los correspondientes a: "&amp;ejercicio</f>
        <v xml:space="preserve">      En las notas siguientes, cuando se refiere a importes estimados son los correspondientes a: 2024. Cuando se refiere a importes previsibles son los correspondientes a: 2025</v>
      </c>
      <c r="D117" s="115"/>
      <c r="E117" s="116"/>
      <c r="F117" s="116"/>
      <c r="G117" s="607"/>
      <c r="H117" s="116"/>
      <c r="I117" s="116"/>
      <c r="J117" s="116"/>
      <c r="K117" s="607"/>
      <c r="L117" s="116"/>
      <c r="M117" s="116"/>
      <c r="O117" s="116"/>
      <c r="P117" s="64"/>
      <c r="Q117" s="64"/>
      <c r="R117" s="64"/>
      <c r="S117" s="72"/>
      <c r="U117" s="782"/>
      <c r="V117" s="783"/>
      <c r="W117" s="783"/>
      <c r="X117" s="783"/>
      <c r="Y117" s="783"/>
      <c r="Z117" s="783"/>
      <c r="AA117" s="783"/>
      <c r="AB117" s="783"/>
      <c r="AC117" s="783"/>
      <c r="AD117" s="783"/>
      <c r="AE117" s="783"/>
      <c r="AF117" s="783"/>
      <c r="AG117" s="783"/>
      <c r="AH117" s="784"/>
    </row>
    <row r="118" spans="2:34" ht="18">
      <c r="B118" s="80"/>
      <c r="C118" s="608" t="s">
        <v>896</v>
      </c>
      <c r="D118" s="115"/>
      <c r="E118" s="116"/>
      <c r="F118" s="116"/>
      <c r="G118" s="116"/>
      <c r="H118" s="116"/>
      <c r="I118" s="116"/>
      <c r="J118" s="116"/>
      <c r="K118" s="116"/>
      <c r="L118" s="116"/>
      <c r="M118" s="116"/>
      <c r="N118" s="116"/>
      <c r="O118" s="116"/>
      <c r="P118" s="64"/>
      <c r="Q118" s="64"/>
      <c r="R118" s="64"/>
      <c r="S118" s="72"/>
      <c r="U118" s="782"/>
      <c r="V118" s="783"/>
      <c r="W118" s="783"/>
      <c r="X118" s="783"/>
      <c r="Y118" s="783"/>
      <c r="Z118" s="783"/>
      <c r="AA118" s="783"/>
      <c r="AB118" s="783"/>
      <c r="AC118" s="783"/>
      <c r="AD118" s="783"/>
      <c r="AE118" s="783"/>
      <c r="AF118" s="783"/>
      <c r="AG118" s="783"/>
      <c r="AH118" s="784"/>
    </row>
    <row r="119" spans="2:34" ht="18">
      <c r="B119" s="80"/>
      <c r="C119" s="115" t="s">
        <v>897</v>
      </c>
      <c r="D119" s="115"/>
      <c r="E119" s="116"/>
      <c r="F119" s="116"/>
      <c r="G119" s="116"/>
      <c r="H119" s="116"/>
      <c r="I119" s="116"/>
      <c r="J119" s="116"/>
      <c r="K119" s="116"/>
      <c r="L119" s="116"/>
      <c r="M119" s="116"/>
      <c r="N119" s="116"/>
      <c r="O119" s="116"/>
      <c r="P119" s="64"/>
      <c r="Q119" s="64"/>
      <c r="R119" s="64"/>
      <c r="S119" s="72"/>
      <c r="U119" s="782"/>
      <c r="V119" s="783"/>
      <c r="W119" s="783"/>
      <c r="X119" s="783"/>
      <c r="Y119" s="783"/>
      <c r="Z119" s="783"/>
      <c r="AA119" s="783"/>
      <c r="AB119" s="783"/>
      <c r="AC119" s="783"/>
      <c r="AD119" s="783"/>
      <c r="AE119" s="783"/>
      <c r="AF119" s="783"/>
      <c r="AG119" s="783"/>
      <c r="AH119" s="784"/>
    </row>
    <row r="120" spans="2:34" ht="18">
      <c r="B120" s="80"/>
      <c r="C120" s="608" t="s">
        <v>898</v>
      </c>
      <c r="D120" s="115"/>
      <c r="E120" s="116"/>
      <c r="F120" s="116"/>
      <c r="G120" s="116"/>
      <c r="H120" s="116"/>
      <c r="I120" s="116"/>
      <c r="J120" s="116"/>
      <c r="K120" s="116"/>
      <c r="L120" s="116"/>
      <c r="M120" s="116"/>
      <c r="N120" s="116"/>
      <c r="O120" s="116"/>
      <c r="P120" s="64"/>
      <c r="Q120" s="64"/>
      <c r="R120" s="64"/>
      <c r="S120" s="72"/>
      <c r="U120" s="782"/>
      <c r="V120" s="783"/>
      <c r="W120" s="783"/>
      <c r="X120" s="783"/>
      <c r="Y120" s="783"/>
      <c r="Z120" s="783"/>
      <c r="AA120" s="783"/>
      <c r="AB120" s="783"/>
      <c r="AC120" s="783"/>
      <c r="AD120" s="783"/>
      <c r="AE120" s="783"/>
      <c r="AF120" s="783"/>
      <c r="AG120" s="783"/>
      <c r="AH120" s="784"/>
    </row>
    <row r="121" spans="2:34" ht="18">
      <c r="B121" s="80"/>
      <c r="C121" s="115" t="s">
        <v>899</v>
      </c>
      <c r="D121" s="115"/>
      <c r="E121" s="116"/>
      <c r="F121" s="116"/>
      <c r="G121" s="116"/>
      <c r="H121" s="116"/>
      <c r="I121" s="116"/>
      <c r="J121" s="116"/>
      <c r="K121" s="116"/>
      <c r="L121" s="116"/>
      <c r="M121" s="116"/>
      <c r="N121" s="116"/>
      <c r="O121" s="116"/>
      <c r="P121" s="64"/>
      <c r="Q121" s="64"/>
      <c r="R121" s="64"/>
      <c r="S121" s="72"/>
      <c r="U121" s="782"/>
      <c r="V121" s="783"/>
      <c r="W121" s="783"/>
      <c r="X121" s="783"/>
      <c r="Y121" s="783"/>
      <c r="Z121" s="783"/>
      <c r="AA121" s="783"/>
      <c r="AB121" s="783"/>
      <c r="AC121" s="783"/>
      <c r="AD121" s="783"/>
      <c r="AE121" s="783"/>
      <c r="AF121" s="783"/>
      <c r="AG121" s="783"/>
      <c r="AH121" s="784"/>
    </row>
    <row r="122" spans="2:34" ht="18">
      <c r="B122" s="80"/>
      <c r="C122" s="115" t="s">
        <v>900</v>
      </c>
      <c r="D122" s="115"/>
      <c r="E122" s="116"/>
      <c r="F122" s="116"/>
      <c r="G122" s="116"/>
      <c r="H122" s="116"/>
      <c r="I122" s="116"/>
      <c r="J122" s="116"/>
      <c r="K122" s="116"/>
      <c r="L122" s="116"/>
      <c r="M122" s="116"/>
      <c r="N122" s="116"/>
      <c r="O122" s="116"/>
      <c r="P122" s="64"/>
      <c r="Q122" s="64"/>
      <c r="R122" s="64"/>
      <c r="S122" s="72"/>
      <c r="U122" s="782"/>
      <c r="V122" s="783"/>
      <c r="W122" s="783"/>
      <c r="X122" s="783"/>
      <c r="Y122" s="783"/>
      <c r="Z122" s="783"/>
      <c r="AA122" s="783"/>
      <c r="AB122" s="783"/>
      <c r="AC122" s="783"/>
      <c r="AD122" s="783"/>
      <c r="AE122" s="783"/>
      <c r="AF122" s="783"/>
      <c r="AG122" s="783"/>
      <c r="AH122" s="784"/>
    </row>
    <row r="123" spans="2:34" ht="18">
      <c r="B123" s="80"/>
      <c r="C123" s="115" t="s">
        <v>901</v>
      </c>
      <c r="D123" s="115"/>
      <c r="E123" s="116"/>
      <c r="F123" s="116"/>
      <c r="G123" s="116"/>
      <c r="H123" s="116"/>
      <c r="I123" s="116"/>
      <c r="J123" s="116"/>
      <c r="K123" s="116"/>
      <c r="L123" s="116"/>
      <c r="M123" s="116"/>
      <c r="N123" s="116"/>
      <c r="O123" s="116"/>
      <c r="P123" s="64"/>
      <c r="Q123" s="64"/>
      <c r="R123" s="64"/>
      <c r="S123" s="72"/>
      <c r="U123" s="782"/>
      <c r="V123" s="783"/>
      <c r="W123" s="783"/>
      <c r="X123" s="783"/>
      <c r="Y123" s="783"/>
      <c r="Z123" s="783"/>
      <c r="AA123" s="783"/>
      <c r="AB123" s="783"/>
      <c r="AC123" s="783"/>
      <c r="AD123" s="783"/>
      <c r="AE123" s="783"/>
      <c r="AF123" s="783"/>
      <c r="AG123" s="783"/>
      <c r="AH123" s="784"/>
    </row>
    <row r="124" spans="2:34" ht="18">
      <c r="B124" s="80"/>
      <c r="C124" s="608" t="s">
        <v>902</v>
      </c>
      <c r="D124" s="115"/>
      <c r="E124" s="116"/>
      <c r="F124" s="116"/>
      <c r="G124" s="116"/>
      <c r="H124" s="116"/>
      <c r="I124" s="116"/>
      <c r="J124" s="116"/>
      <c r="K124" s="116"/>
      <c r="L124" s="116"/>
      <c r="M124" s="116"/>
      <c r="N124" s="116"/>
      <c r="O124" s="116"/>
      <c r="P124" s="64"/>
      <c r="Q124" s="64"/>
      <c r="R124" s="64"/>
      <c r="S124" s="72"/>
      <c r="U124" s="782"/>
      <c r="V124" s="783"/>
      <c r="W124" s="783"/>
      <c r="X124" s="783"/>
      <c r="Y124" s="783"/>
      <c r="Z124" s="783"/>
      <c r="AA124" s="783"/>
      <c r="AB124" s="783"/>
      <c r="AC124" s="783"/>
      <c r="AD124" s="783"/>
      <c r="AE124" s="783"/>
      <c r="AF124" s="783"/>
      <c r="AG124" s="783"/>
      <c r="AH124" s="784"/>
    </row>
    <row r="125" spans="2:34" ht="18">
      <c r="B125" s="80"/>
      <c r="C125" s="608" t="s">
        <v>903</v>
      </c>
      <c r="D125" s="115"/>
      <c r="E125" s="116"/>
      <c r="F125" s="116"/>
      <c r="G125" s="116"/>
      <c r="H125" s="116"/>
      <c r="I125" s="116"/>
      <c r="J125" s="116"/>
      <c r="K125" s="116"/>
      <c r="L125" s="116"/>
      <c r="M125" s="116"/>
      <c r="N125" s="116"/>
      <c r="O125" s="116"/>
      <c r="P125" s="64"/>
      <c r="Q125" s="64"/>
      <c r="R125" s="64"/>
      <c r="S125" s="72"/>
      <c r="U125" s="782"/>
      <c r="V125" s="783"/>
      <c r="W125" s="783"/>
      <c r="X125" s="783"/>
      <c r="Y125" s="783"/>
      <c r="Z125" s="783"/>
      <c r="AA125" s="783"/>
      <c r="AB125" s="783"/>
      <c r="AC125" s="783"/>
      <c r="AD125" s="783"/>
      <c r="AE125" s="783"/>
      <c r="AF125" s="783"/>
      <c r="AG125" s="783"/>
      <c r="AH125" s="784"/>
    </row>
    <row r="126" spans="2:34" ht="18">
      <c r="B126" s="1206"/>
      <c r="C126" s="115" t="s">
        <v>904</v>
      </c>
      <c r="D126" s="115"/>
      <c r="E126" s="116"/>
      <c r="F126" s="116"/>
      <c r="G126" s="116"/>
      <c r="H126" s="116"/>
      <c r="I126" s="116"/>
      <c r="J126" s="116"/>
      <c r="K126" s="116"/>
      <c r="L126" s="116"/>
      <c r="M126" s="116"/>
      <c r="N126" s="116"/>
      <c r="O126" s="116"/>
      <c r="P126" s="64"/>
      <c r="Q126" s="64"/>
      <c r="R126" s="64"/>
      <c r="S126" s="72"/>
      <c r="U126" s="782"/>
      <c r="V126" s="783"/>
      <c r="W126" s="783"/>
      <c r="X126" s="783"/>
      <c r="Y126" s="783"/>
      <c r="Z126" s="783"/>
      <c r="AA126" s="783"/>
      <c r="AB126" s="783"/>
      <c r="AC126" s="783"/>
      <c r="AD126" s="783"/>
      <c r="AE126" s="783"/>
      <c r="AF126" s="783"/>
      <c r="AG126" s="783"/>
      <c r="AH126" s="784"/>
    </row>
    <row r="127" spans="2:34" ht="18">
      <c r="B127" s="1206"/>
      <c r="C127" s="608" t="s">
        <v>905</v>
      </c>
      <c r="D127" s="115"/>
      <c r="E127" s="116"/>
      <c r="F127" s="116"/>
      <c r="G127" s="116"/>
      <c r="H127" s="116"/>
      <c r="I127" s="116"/>
      <c r="J127" s="116"/>
      <c r="K127" s="116"/>
      <c r="L127" s="116"/>
      <c r="M127" s="116"/>
      <c r="N127" s="116"/>
      <c r="O127" s="116"/>
      <c r="P127" s="64"/>
      <c r="Q127" s="64"/>
      <c r="R127" s="64"/>
      <c r="S127" s="72"/>
      <c r="U127" s="782"/>
      <c r="V127" s="783"/>
      <c r="W127" s="783"/>
      <c r="X127" s="783"/>
      <c r="Y127" s="783"/>
      <c r="Z127" s="783"/>
      <c r="AA127" s="783"/>
      <c r="AB127" s="783"/>
      <c r="AC127" s="783"/>
      <c r="AD127" s="783"/>
      <c r="AE127" s="783"/>
      <c r="AF127" s="783"/>
      <c r="AG127" s="783"/>
      <c r="AH127" s="784"/>
    </row>
    <row r="128" spans="2:34" s="611" customFormat="1" ht="18">
      <c r="B128" s="1206"/>
      <c r="C128" s="608" t="s">
        <v>906</v>
      </c>
      <c r="D128" s="609"/>
      <c r="E128" s="610"/>
      <c r="F128" s="610"/>
      <c r="G128" s="610"/>
      <c r="H128" s="610"/>
      <c r="I128" s="610"/>
      <c r="J128" s="610"/>
      <c r="K128" s="116"/>
      <c r="L128" s="116"/>
      <c r="M128" s="116"/>
      <c r="N128" s="116"/>
      <c r="O128" s="116"/>
      <c r="P128" s="64"/>
      <c r="Q128" s="64"/>
      <c r="R128" s="64"/>
      <c r="S128" s="418"/>
      <c r="U128" s="782"/>
      <c r="V128" s="783"/>
      <c r="W128" s="783"/>
      <c r="X128" s="783"/>
      <c r="Y128" s="783"/>
      <c r="Z128" s="783"/>
      <c r="AA128" s="783"/>
      <c r="AB128" s="783"/>
      <c r="AC128" s="783"/>
      <c r="AD128" s="783"/>
      <c r="AE128" s="783"/>
      <c r="AF128" s="783"/>
      <c r="AG128" s="783"/>
      <c r="AH128" s="784"/>
    </row>
    <row r="129" spans="2:34" ht="18">
      <c r="B129" s="1206"/>
      <c r="C129" s="115" t="s">
        <v>907</v>
      </c>
      <c r="D129" s="115"/>
      <c r="E129" s="116"/>
      <c r="F129" s="116"/>
      <c r="G129" s="116"/>
      <c r="H129" s="116"/>
      <c r="I129" s="116"/>
      <c r="J129" s="116"/>
      <c r="K129" s="116"/>
      <c r="L129" s="116"/>
      <c r="M129" s="116"/>
      <c r="N129" s="116"/>
      <c r="O129" s="116"/>
      <c r="P129" s="64"/>
      <c r="Q129" s="64"/>
      <c r="R129" s="64"/>
      <c r="S129" s="72"/>
      <c r="U129" s="782"/>
      <c r="V129" s="783"/>
      <c r="W129" s="783"/>
      <c r="X129" s="783"/>
      <c r="Y129" s="783"/>
      <c r="Z129" s="783"/>
      <c r="AA129" s="783"/>
      <c r="AB129" s="783"/>
      <c r="AC129" s="783"/>
      <c r="AD129" s="783"/>
      <c r="AE129" s="783"/>
      <c r="AF129" s="783"/>
      <c r="AG129" s="783"/>
      <c r="AH129" s="784"/>
    </row>
    <row r="130" spans="2:34" ht="18">
      <c r="B130" s="80"/>
      <c r="C130" s="608" t="s">
        <v>908</v>
      </c>
      <c r="D130" s="115"/>
      <c r="E130" s="116"/>
      <c r="F130" s="116"/>
      <c r="G130" s="116"/>
      <c r="H130" s="116"/>
      <c r="I130" s="116"/>
      <c r="J130" s="116"/>
      <c r="K130" s="116"/>
      <c r="L130" s="116"/>
      <c r="M130" s="116"/>
      <c r="N130" s="116"/>
      <c r="O130" s="116"/>
      <c r="P130" s="64"/>
      <c r="Q130" s="64"/>
      <c r="R130" s="64"/>
      <c r="S130" s="72"/>
      <c r="U130" s="782"/>
      <c r="V130" s="783"/>
      <c r="W130" s="783"/>
      <c r="X130" s="783"/>
      <c r="Y130" s="783"/>
      <c r="Z130" s="783"/>
      <c r="AA130" s="783"/>
      <c r="AB130" s="783"/>
      <c r="AC130" s="783"/>
      <c r="AD130" s="783"/>
      <c r="AE130" s="783"/>
      <c r="AF130" s="783"/>
      <c r="AG130" s="783"/>
      <c r="AH130" s="784"/>
    </row>
    <row r="131" spans="2:34" ht="18">
      <c r="B131" s="80"/>
      <c r="C131" s="115" t="s">
        <v>909</v>
      </c>
      <c r="D131" s="115"/>
      <c r="E131" s="116"/>
      <c r="F131" s="116"/>
      <c r="G131" s="116"/>
      <c r="H131" s="116"/>
      <c r="I131" s="116"/>
      <c r="J131" s="116"/>
      <c r="K131" s="116"/>
      <c r="L131" s="116"/>
      <c r="M131" s="116"/>
      <c r="N131" s="116"/>
      <c r="O131" s="116"/>
      <c r="P131" s="64"/>
      <c r="Q131" s="64"/>
      <c r="R131" s="64"/>
      <c r="S131" s="72"/>
      <c r="U131" s="782"/>
      <c r="V131" s="783"/>
      <c r="W131" s="783"/>
      <c r="X131" s="783"/>
      <c r="Y131" s="783"/>
      <c r="Z131" s="783"/>
      <c r="AA131" s="783"/>
      <c r="AB131" s="783"/>
      <c r="AC131" s="783"/>
      <c r="AD131" s="783"/>
      <c r="AE131" s="783"/>
      <c r="AF131" s="783"/>
      <c r="AG131" s="783"/>
      <c r="AH131" s="784"/>
    </row>
    <row r="132" spans="2:34" ht="23.1" customHeight="1" thickBot="1">
      <c r="B132" s="83"/>
      <c r="C132" s="1228"/>
      <c r="D132" s="1228"/>
      <c r="E132" s="1228"/>
      <c r="F132" s="1228"/>
      <c r="G132" s="1228"/>
      <c r="H132" s="33"/>
      <c r="I132" s="33"/>
      <c r="J132" s="33"/>
      <c r="K132" s="33"/>
      <c r="L132" s="33"/>
      <c r="M132" s="33"/>
      <c r="N132" s="33"/>
      <c r="O132" s="33"/>
      <c r="P132" s="84"/>
      <c r="Q132" s="84"/>
      <c r="R132" s="84"/>
      <c r="S132" s="85"/>
      <c r="U132" s="791"/>
      <c r="V132" s="792"/>
      <c r="W132" s="792"/>
      <c r="X132" s="792"/>
      <c r="Y132" s="792"/>
      <c r="Z132" s="792"/>
      <c r="AA132" s="792"/>
      <c r="AB132" s="792"/>
      <c r="AC132" s="792"/>
      <c r="AD132" s="792"/>
      <c r="AE132" s="792"/>
      <c r="AF132" s="792"/>
      <c r="AG132" s="792"/>
      <c r="AH132" s="793"/>
    </row>
    <row r="133" spans="2:34" ht="23.1" customHeight="1">
      <c r="T133" s="65" t="s">
        <v>248</v>
      </c>
    </row>
    <row r="134" spans="2:34" ht="12.75">
      <c r="C134" s="86" t="s">
        <v>98</v>
      </c>
      <c r="P134" s="63" t="s">
        <v>910</v>
      </c>
      <c r="Q134" s="63"/>
      <c r="R134" s="63"/>
    </row>
    <row r="135" spans="2:34" ht="12.75">
      <c r="C135" s="86" t="s">
        <v>100</v>
      </c>
    </row>
    <row r="136" spans="2:34" ht="12.75">
      <c r="C136" s="86" t="s">
        <v>101</v>
      </c>
    </row>
    <row r="137" spans="2:34" ht="12.75">
      <c r="C137" s="86" t="s">
        <v>102</v>
      </c>
    </row>
    <row r="138" spans="2:34" ht="12.75">
      <c r="C138" s="86" t="s">
        <v>103</v>
      </c>
    </row>
    <row r="140" spans="2:34" ht="12.75"/>
    <row r="141" spans="2:34" ht="12.75" hidden="1">
      <c r="C141" s="612" t="s">
        <v>911</v>
      </c>
    </row>
    <row r="142" spans="2:34" ht="12.75" hidden="1">
      <c r="C142" s="65" t="s">
        <v>98</v>
      </c>
    </row>
    <row r="143" spans="2:34" ht="12.75" hidden="1">
      <c r="C143" s="65" t="s">
        <v>912</v>
      </c>
    </row>
    <row r="144" spans="2:34" ht="12.75" hidden="1">
      <c r="C144" s="65" t="s">
        <v>913</v>
      </c>
    </row>
    <row r="145" spans="3:3" ht="12.75" hidden="1">
      <c r="C145" s="65" t="s">
        <v>914</v>
      </c>
    </row>
  </sheetData>
  <sheetProtection sheet="1" insertRows="0"/>
  <mergeCells count="91">
    <mergeCell ref="C96:D96"/>
    <mergeCell ref="C97:D97"/>
    <mergeCell ref="C98:D98"/>
    <mergeCell ref="C99:D99"/>
    <mergeCell ref="C100:D100"/>
    <mergeCell ref="C90:D90"/>
    <mergeCell ref="C86:D86"/>
    <mergeCell ref="C87:D87"/>
    <mergeCell ref="C88:D88"/>
    <mergeCell ref="C89:D89"/>
    <mergeCell ref="C85:D85"/>
    <mergeCell ref="C68:D68"/>
    <mergeCell ref="C69:D69"/>
    <mergeCell ref="C70:D70"/>
    <mergeCell ref="C71:D71"/>
    <mergeCell ref="C72:D72"/>
    <mergeCell ref="C73:D73"/>
    <mergeCell ref="C62:D62"/>
    <mergeCell ref="C63:D63"/>
    <mergeCell ref="C64:D64"/>
    <mergeCell ref="C65:D65"/>
    <mergeCell ref="C66:D66"/>
    <mergeCell ref="C67:D67"/>
    <mergeCell ref="C55:D55"/>
    <mergeCell ref="C36:D36"/>
    <mergeCell ref="C37:D37"/>
    <mergeCell ref="C38:D38"/>
    <mergeCell ref="C39:D39"/>
    <mergeCell ref="C61:D61"/>
    <mergeCell ref="C32:D32"/>
    <mergeCell ref="C33:D33"/>
    <mergeCell ref="C34:D34"/>
    <mergeCell ref="C35:D35"/>
    <mergeCell ref="C40:D40"/>
    <mergeCell ref="C54:D54"/>
    <mergeCell ref="C26:D26"/>
    <mergeCell ref="C27:D27"/>
    <mergeCell ref="C28:D28"/>
    <mergeCell ref="C29:D29"/>
    <mergeCell ref="C30:D30"/>
    <mergeCell ref="C31:D31"/>
    <mergeCell ref="E51:F52"/>
    <mergeCell ref="H16:I16"/>
    <mergeCell ref="K16:L16"/>
    <mergeCell ref="C44:F44"/>
    <mergeCell ref="C43:F43"/>
    <mergeCell ref="C21:D21"/>
    <mergeCell ref="C22:D22"/>
    <mergeCell ref="C23:D23"/>
    <mergeCell ref="C24:D24"/>
    <mergeCell ref="C25:D25"/>
    <mergeCell ref="C59:D59"/>
    <mergeCell ref="C60:D60"/>
    <mergeCell ref="Q6:Q7"/>
    <mergeCell ref="C12:D12"/>
    <mergeCell ref="C15:D15"/>
    <mergeCell ref="D9:R9"/>
    <mergeCell ref="G15:L15"/>
    <mergeCell ref="M15:N15"/>
    <mergeCell ref="E15:F15"/>
    <mergeCell ref="I51:J51"/>
    <mergeCell ref="C132:G132"/>
    <mergeCell ref="C53:D53"/>
    <mergeCell ref="C84:D84"/>
    <mergeCell ref="C101:F101"/>
    <mergeCell ref="E96:F96"/>
    <mergeCell ref="E100:F100"/>
    <mergeCell ref="G82:L82"/>
    <mergeCell ref="H83:I83"/>
    <mergeCell ref="E82:F83"/>
    <mergeCell ref="K83:L83"/>
    <mergeCell ref="C51:D52"/>
    <mergeCell ref="E84:F84"/>
    <mergeCell ref="C95:D95"/>
    <mergeCell ref="C17:D17"/>
    <mergeCell ref="C16:D16"/>
    <mergeCell ref="G51:H51"/>
    <mergeCell ref="E53:F53"/>
    <mergeCell ref="C56:D56"/>
    <mergeCell ref="C57:D57"/>
    <mergeCell ref="C58:D58"/>
    <mergeCell ref="M16:N16"/>
    <mergeCell ref="E16:F17"/>
    <mergeCell ref="E97:F97"/>
    <mergeCell ref="E98:F98"/>
    <mergeCell ref="E99:F99"/>
    <mergeCell ref="E95:F95"/>
    <mergeCell ref="M82:N83"/>
    <mergeCell ref="C91:F91"/>
    <mergeCell ref="C74:F74"/>
    <mergeCell ref="C82:D83"/>
  </mergeCells>
  <phoneticPr fontId="5" type="noConversion"/>
  <dataValidations count="1">
    <dataValidation type="list" allowBlank="1" showInputMessage="1" showErrorMessage="1" sqref="E54:E73 E85:E90 E21:E40" xr:uid="{28E094B6-7C49-47F9-B116-60AF3FAACDE4}">
      <formula1>$C$142:$C$145</formula1>
    </dataValidation>
  </dataValidations>
  <printOptions horizontalCentered="1" verticalCentered="1"/>
  <pageMargins left="0.35629921259842523" right="0.35629921259842523" top="0.60629921259842523" bottom="0.60629921259842523" header="0.5" footer="0.5"/>
  <pageSetup paperSize="9" scale="20" orientation="portrait" horizontalDpi="4294967292" verticalDpi="4294967292" r:id="rId1"/>
  <ignoredErrors>
    <ignoredError sqref="W28:X39 U21 K19:L19 U22:U39 U54 U55:U72 U85 U86:U89 U73 W40:X41 U40 U90" unlockedFormula="1"/>
  </ignoredErrors>
  <drawing r:id="rId2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73975CC-3036-438D-8650-42FAF3CEF171}">
  <sheetPr>
    <pageSetUpPr fitToPage="1"/>
  </sheetPr>
  <dimension ref="A2:AI87"/>
  <sheetViews>
    <sheetView topLeftCell="A17" zoomScaleNormal="147" zoomScalePageLayoutView="125" workbookViewId="0">
      <selection activeCell="K37" sqref="K37"/>
    </sheetView>
  </sheetViews>
  <sheetFormatPr baseColWidth="10" defaultColWidth="10.6640625" defaultRowHeight="23.1" customHeight="1"/>
  <cols>
    <col min="1" max="1" width="4.109375" style="65" bestFit="1" customWidth="1"/>
    <col min="2" max="2" width="3.109375" style="65" customWidth="1"/>
    <col min="3" max="3" width="13.5546875" style="65" customWidth="1"/>
    <col min="4" max="4" width="26.5546875" style="65" customWidth="1"/>
    <col min="5" max="6" width="13.44140625" style="66" customWidth="1"/>
    <col min="7" max="7" width="20" style="66" customWidth="1"/>
    <col min="8" max="8" width="13.44140625" style="66" customWidth="1"/>
    <col min="9" max="9" width="15.88671875" style="66" customWidth="1"/>
    <col min="10" max="10" width="14.5546875" style="66" customWidth="1"/>
    <col min="11" max="12" width="15.44140625" style="66" customWidth="1"/>
    <col min="13" max="13" width="14.6640625" style="66" customWidth="1"/>
    <col min="14" max="16" width="15.88671875" style="66" customWidth="1"/>
    <col min="17" max="17" width="3.33203125" style="65" customWidth="1"/>
    <col min="18" max="18" width="10.6640625" style="65"/>
    <col min="19" max="19" width="11.109375" style="65" bestFit="1" customWidth="1"/>
    <col min="20" max="16384" width="10.6640625" style="65"/>
  </cols>
  <sheetData>
    <row r="2" spans="1:32" ht="23.1" customHeight="1">
      <c r="D2" s="391" t="str">
        <f>_GENERAL!D2</f>
        <v>Área de la Presidenta: Igualdad y Diversidad, Hacienda y Proyectos Estratégicos</v>
      </c>
    </row>
    <row r="3" spans="1:32" ht="23.1" customHeight="1">
      <c r="D3" s="391" t="str">
        <f>_GENERAL!D3</f>
        <v>Dirección Insular de Hacienda</v>
      </c>
    </row>
    <row r="4" spans="1:32" ht="23.1" customHeight="1" thickBot="1">
      <c r="A4" s="65" t="s">
        <v>195</v>
      </c>
    </row>
    <row r="5" spans="1:32" ht="9" customHeight="1">
      <c r="B5" s="67"/>
      <c r="C5" s="68"/>
      <c r="D5" s="68"/>
      <c r="E5" s="69"/>
      <c r="F5" s="69"/>
      <c r="G5" s="69"/>
      <c r="H5" s="69"/>
      <c r="I5" s="69"/>
      <c r="J5" s="69"/>
      <c r="K5" s="69"/>
      <c r="L5" s="69"/>
      <c r="M5" s="69"/>
      <c r="N5" s="69"/>
      <c r="O5" s="69"/>
      <c r="P5" s="69"/>
      <c r="Q5" s="70"/>
      <c r="S5" s="746"/>
      <c r="T5" s="747"/>
      <c r="U5" s="747"/>
      <c r="V5" s="747"/>
      <c r="W5" s="747"/>
      <c r="X5" s="747"/>
      <c r="Y5" s="747"/>
      <c r="Z5" s="747"/>
      <c r="AA5" s="747"/>
      <c r="AB5" s="747"/>
      <c r="AC5" s="747"/>
      <c r="AD5" s="747"/>
      <c r="AE5" s="747"/>
      <c r="AF5" s="744"/>
    </row>
    <row r="6" spans="1:32" ht="30" customHeight="1">
      <c r="B6" s="71"/>
      <c r="C6" s="40" t="s">
        <v>2</v>
      </c>
      <c r="P6" s="1212">
        <f>ejercicio</f>
        <v>2025</v>
      </c>
      <c r="Q6" s="72"/>
      <c r="S6" s="751"/>
      <c r="T6" s="752"/>
      <c r="U6" s="752"/>
      <c r="V6" s="752"/>
      <c r="W6" s="752"/>
      <c r="X6" s="752"/>
      <c r="Y6" s="752"/>
      <c r="Z6" s="752"/>
      <c r="AA6" s="752"/>
      <c r="AB6" s="752"/>
      <c r="AC6" s="752"/>
      <c r="AD6" s="752"/>
      <c r="AE6" s="752"/>
      <c r="AF6" s="255"/>
    </row>
    <row r="7" spans="1:32" ht="30" customHeight="1">
      <c r="B7" s="71"/>
      <c r="C7" s="40" t="s">
        <v>3</v>
      </c>
      <c r="P7" s="1212"/>
      <c r="Q7" s="72"/>
      <c r="S7" s="754"/>
      <c r="T7" s="755" t="s">
        <v>196</v>
      </c>
      <c r="U7" s="756"/>
      <c r="V7" s="756"/>
      <c r="W7" s="756"/>
      <c r="X7" s="756"/>
      <c r="Y7" s="756"/>
      <c r="Z7" s="756"/>
      <c r="AA7" s="756"/>
      <c r="AB7" s="756"/>
      <c r="AC7" s="756"/>
      <c r="AD7" s="756"/>
      <c r="AE7" s="756"/>
      <c r="AF7" s="255"/>
    </row>
    <row r="8" spans="1:32" ht="30" customHeight="1">
      <c r="B8" s="71"/>
      <c r="C8" s="73"/>
      <c r="Q8" s="72"/>
      <c r="S8" s="782"/>
      <c r="T8" s="783"/>
      <c r="U8" s="783"/>
      <c r="V8" s="783"/>
      <c r="W8" s="783"/>
      <c r="X8" s="783"/>
      <c r="Y8" s="783"/>
      <c r="Z8" s="783"/>
      <c r="AA8" s="783"/>
      <c r="AB8" s="783"/>
      <c r="AC8" s="783"/>
      <c r="AD8" s="783"/>
      <c r="AE8" s="783"/>
      <c r="AF8" s="784"/>
    </row>
    <row r="9" spans="1:32" s="128" customFormat="1" ht="30" customHeight="1">
      <c r="A9" s="877"/>
      <c r="B9" s="905"/>
      <c r="C9" s="21" t="s">
        <v>105</v>
      </c>
      <c r="D9" s="1229" t="str">
        <f>Entidad</f>
        <v>(MERCATENERIFE) Mercados Centrales de Abastecimiento de Tenerife, S.A.</v>
      </c>
      <c r="E9" s="1229"/>
      <c r="F9" s="1229"/>
      <c r="G9" s="1229"/>
      <c r="H9" s="1229"/>
      <c r="I9" s="1229"/>
      <c r="J9" s="1229"/>
      <c r="K9" s="1229"/>
      <c r="L9" s="1229"/>
      <c r="M9" s="1229"/>
      <c r="N9" s="1229"/>
      <c r="O9" s="1229"/>
      <c r="P9" s="1229"/>
      <c r="Q9" s="904"/>
      <c r="R9" s="877"/>
      <c r="S9" s="782"/>
      <c r="T9" s="783"/>
      <c r="U9" s="783"/>
      <c r="V9" s="783"/>
      <c r="W9" s="783"/>
      <c r="X9" s="783"/>
      <c r="Y9" s="783"/>
      <c r="Z9" s="783"/>
      <c r="AA9" s="783"/>
      <c r="AB9" s="783"/>
      <c r="AC9" s="783"/>
      <c r="AD9" s="783"/>
      <c r="AE9" s="783"/>
      <c r="AF9" s="784"/>
    </row>
    <row r="10" spans="1:32" ht="6.95" customHeight="1">
      <c r="B10" s="71"/>
      <c r="Q10" s="72"/>
      <c r="S10" s="751"/>
      <c r="T10" s="752"/>
      <c r="U10" s="752"/>
      <c r="V10" s="752"/>
      <c r="W10" s="752"/>
      <c r="X10" s="752"/>
      <c r="Y10" s="752"/>
      <c r="Z10" s="752"/>
      <c r="AA10" s="752"/>
      <c r="AB10" s="752"/>
      <c r="AC10" s="752"/>
      <c r="AD10" s="752"/>
      <c r="AE10" s="752"/>
      <c r="AF10" s="255"/>
    </row>
    <row r="11" spans="1:32" s="79" customFormat="1" ht="30" customHeight="1">
      <c r="B11" s="75"/>
      <c r="C11" s="76" t="s">
        <v>915</v>
      </c>
      <c r="D11" s="76"/>
      <c r="E11" s="77"/>
      <c r="F11" s="77"/>
      <c r="G11" s="77"/>
      <c r="H11" s="77"/>
      <c r="I11" s="77"/>
      <c r="J11" s="77"/>
      <c r="K11" s="77"/>
      <c r="L11" s="77"/>
      <c r="M11" s="77"/>
      <c r="N11" s="77"/>
      <c r="O11" s="77"/>
      <c r="P11" s="77"/>
      <c r="Q11" s="78"/>
      <c r="S11" s="782"/>
      <c r="T11" s="783"/>
      <c r="U11" s="783"/>
      <c r="V11" s="783"/>
      <c r="W11" s="783"/>
      <c r="X11" s="783"/>
      <c r="Y11" s="783"/>
      <c r="Z11" s="783"/>
      <c r="AA11" s="783"/>
      <c r="AB11" s="783"/>
      <c r="AC11" s="783"/>
      <c r="AD11" s="783"/>
      <c r="AE11" s="783"/>
      <c r="AF11" s="784"/>
    </row>
    <row r="12" spans="1:32" s="79" customFormat="1" ht="30" customHeight="1">
      <c r="B12" s="75"/>
      <c r="C12" s="1237"/>
      <c r="D12" s="1237"/>
      <c r="E12" s="64"/>
      <c r="F12" s="64"/>
      <c r="G12" s="64"/>
      <c r="H12" s="64"/>
      <c r="I12" s="64"/>
      <c r="J12" s="64"/>
      <c r="K12" s="64"/>
      <c r="L12" s="64"/>
      <c r="M12" s="64"/>
      <c r="N12" s="64"/>
      <c r="O12" s="64"/>
      <c r="P12" s="64"/>
      <c r="Q12" s="78"/>
      <c r="S12" s="782"/>
      <c r="T12" s="783"/>
      <c r="U12" s="783"/>
      <c r="V12" s="783"/>
      <c r="W12" s="783"/>
      <c r="X12" s="783"/>
      <c r="Y12" s="783"/>
      <c r="Z12" s="783"/>
      <c r="AA12" s="783"/>
      <c r="AB12" s="783"/>
      <c r="AC12" s="783"/>
      <c r="AD12" s="783"/>
      <c r="AE12" s="783"/>
      <c r="AF12" s="784"/>
    </row>
    <row r="13" spans="1:32" ht="23.1" customHeight="1">
      <c r="B13" s="80"/>
      <c r="C13" s="38" t="s">
        <v>916</v>
      </c>
      <c r="D13" s="597"/>
      <c r="E13" s="150"/>
      <c r="F13" s="150"/>
      <c r="G13" s="150"/>
      <c r="H13" s="354"/>
      <c r="I13" s="150"/>
      <c r="J13" s="150"/>
      <c r="K13" s="150"/>
      <c r="L13" s="150"/>
      <c r="M13" s="150"/>
      <c r="N13" s="150"/>
      <c r="O13" s="150"/>
      <c r="P13" s="150"/>
      <c r="Q13" s="72"/>
      <c r="S13" s="795"/>
      <c r="T13" s="783"/>
      <c r="U13" s="783"/>
      <c r="V13" s="783"/>
      <c r="W13" s="783"/>
      <c r="X13" s="783"/>
      <c r="Y13" s="783"/>
      <c r="Z13" s="783"/>
      <c r="AA13" s="783"/>
      <c r="AB13" s="783"/>
      <c r="AC13" s="783"/>
      <c r="AD13" s="783"/>
      <c r="AE13" s="783"/>
      <c r="AF13" s="784"/>
    </row>
    <row r="14" spans="1:32" ht="23.1" customHeight="1">
      <c r="B14" s="80"/>
      <c r="C14" s="65" t="s">
        <v>917</v>
      </c>
      <c r="D14" s="906"/>
      <c r="E14" s="64"/>
      <c r="F14" s="64"/>
      <c r="G14" s="64"/>
      <c r="H14" s="64"/>
      <c r="I14" s="64"/>
      <c r="J14" s="64"/>
      <c r="K14" s="64"/>
      <c r="L14" s="64"/>
      <c r="M14" s="64"/>
      <c r="N14" s="64"/>
      <c r="O14" s="64"/>
      <c r="P14" s="64"/>
      <c r="Q14" s="72"/>
      <c r="S14" s="782"/>
      <c r="T14" s="783"/>
      <c r="U14" s="783"/>
      <c r="V14" s="783"/>
      <c r="W14" s="783"/>
      <c r="X14" s="783"/>
      <c r="Y14" s="783"/>
      <c r="Z14" s="783"/>
      <c r="AA14" s="783"/>
      <c r="AB14" s="783"/>
      <c r="AC14" s="783"/>
      <c r="AD14" s="783"/>
      <c r="AE14" s="783"/>
      <c r="AF14" s="784"/>
    </row>
    <row r="15" spans="1:32" ht="23.1" customHeight="1">
      <c r="B15" s="80"/>
      <c r="D15" s="906"/>
      <c r="E15" s="64"/>
      <c r="F15" s="64"/>
      <c r="G15" s="64"/>
      <c r="H15" s="64"/>
      <c r="I15" s="64"/>
      <c r="J15" s="64"/>
      <c r="K15" s="64"/>
      <c r="L15" s="64"/>
      <c r="M15" s="64"/>
      <c r="N15" s="64"/>
      <c r="O15" s="64"/>
      <c r="P15" s="64"/>
      <c r="Q15" s="72"/>
      <c r="S15" s="782"/>
      <c r="T15" s="783"/>
      <c r="U15" s="783"/>
      <c r="V15" s="783"/>
      <c r="W15" s="783"/>
      <c r="X15" s="783"/>
      <c r="Y15" s="783"/>
      <c r="Z15" s="783"/>
      <c r="AA15" s="783"/>
      <c r="AB15" s="783"/>
      <c r="AC15" s="783"/>
      <c r="AD15" s="783"/>
      <c r="AE15" s="783"/>
      <c r="AF15" s="784"/>
    </row>
    <row r="16" spans="1:32" ht="23.1" customHeight="1">
      <c r="B16" s="80"/>
      <c r="C16" s="348" t="str">
        <f>"A) APORTACIONES PLURIANUALES COMPROMETIDAS PARA EL EJERCICIO "&amp;ejercicio+1&amp;" Y/O LOS EJERCICIOS SIGUIENTES"</f>
        <v>A) APORTACIONES PLURIANUALES COMPROMETIDAS PARA EL EJERCICIO 2026 Y/O LOS EJERCICIOS SIGUIENTES</v>
      </c>
      <c r="D16" s="906"/>
      <c r="E16" s="64"/>
      <c r="F16" s="64"/>
      <c r="G16" s="64"/>
      <c r="H16" s="64"/>
      <c r="I16" s="64"/>
      <c r="J16" s="64"/>
      <c r="K16" s="64"/>
      <c r="L16" s="64"/>
      <c r="M16" s="64"/>
      <c r="N16" s="64"/>
      <c r="O16" s="64"/>
      <c r="P16" s="64"/>
      <c r="Q16" s="72"/>
      <c r="S16" s="782"/>
      <c r="T16" s="783"/>
      <c r="U16" s="783"/>
      <c r="V16" s="783"/>
      <c r="W16" s="783"/>
      <c r="X16" s="783"/>
      <c r="Y16" s="783"/>
      <c r="Z16" s="783"/>
      <c r="AA16" s="783"/>
      <c r="AB16" s="783"/>
      <c r="AC16" s="783"/>
      <c r="AD16" s="783"/>
      <c r="AE16" s="783"/>
      <c r="AF16" s="784"/>
    </row>
    <row r="17" spans="2:32" ht="33.950000000000003" customHeight="1">
      <c r="B17" s="80"/>
      <c r="C17" s="844" t="s">
        <v>918</v>
      </c>
      <c r="D17" s="1158" t="s">
        <v>919</v>
      </c>
      <c r="E17" s="844" t="s">
        <v>920</v>
      </c>
      <c r="F17" s="844" t="s">
        <v>921</v>
      </c>
      <c r="G17" s="1392" t="s">
        <v>922</v>
      </c>
      <c r="H17" s="1393"/>
      <c r="I17" s="844" t="s">
        <v>923</v>
      </c>
      <c r="J17" s="844" t="s">
        <v>924</v>
      </c>
      <c r="K17" s="844" t="s">
        <v>925</v>
      </c>
      <c r="L17" s="844" t="s">
        <v>926</v>
      </c>
      <c r="M17" s="844"/>
      <c r="N17" s="844" t="s">
        <v>652</v>
      </c>
      <c r="O17" s="1392" t="s">
        <v>927</v>
      </c>
      <c r="P17" s="1393"/>
      <c r="Q17" s="72"/>
      <c r="S17" s="782"/>
      <c r="T17" s="783"/>
      <c r="U17" s="783"/>
      <c r="V17" s="783"/>
      <c r="W17" s="783"/>
      <c r="X17" s="783"/>
      <c r="Y17" s="783"/>
      <c r="Z17" s="783"/>
      <c r="AA17" s="783"/>
      <c r="AB17" s="783"/>
      <c r="AC17" s="783"/>
      <c r="AD17" s="783"/>
      <c r="AE17" s="783"/>
      <c r="AF17" s="784"/>
    </row>
    <row r="18" spans="2:32" ht="23.1" customHeight="1">
      <c r="B18" s="80"/>
      <c r="C18" s="1159" t="s">
        <v>928</v>
      </c>
      <c r="D18" s="1160" t="s">
        <v>929</v>
      </c>
      <c r="E18" s="1159" t="s">
        <v>930</v>
      </c>
      <c r="F18" s="1159" t="s">
        <v>931</v>
      </c>
      <c r="G18" s="1404" t="s">
        <v>932</v>
      </c>
      <c r="H18" s="1405"/>
      <c r="I18" s="1159" t="s">
        <v>933</v>
      </c>
      <c r="J18" s="1159">
        <f>ejercicio-1</f>
        <v>2024</v>
      </c>
      <c r="K18" s="1159">
        <f>ejercicio</f>
        <v>2025</v>
      </c>
      <c r="L18" s="1159">
        <f>ejercicio</f>
        <v>2025</v>
      </c>
      <c r="M18" s="1159"/>
      <c r="N18" s="1159">
        <f>ejercicio</f>
        <v>2025</v>
      </c>
      <c r="O18" s="1161" t="s">
        <v>934</v>
      </c>
      <c r="P18" s="1162" t="s">
        <v>935</v>
      </c>
      <c r="Q18" s="72"/>
      <c r="S18" s="782"/>
      <c r="T18" s="783"/>
      <c r="U18" s="783"/>
      <c r="V18" s="783"/>
      <c r="W18" s="783"/>
      <c r="X18" s="783"/>
      <c r="Y18" s="783"/>
      <c r="Z18" s="783"/>
      <c r="AA18" s="783"/>
      <c r="AB18" s="783"/>
      <c r="AC18" s="783"/>
      <c r="AD18" s="783"/>
      <c r="AE18" s="783"/>
      <c r="AF18" s="784"/>
    </row>
    <row r="19" spans="2:32" ht="23.1" customHeight="1">
      <c r="B19" s="80"/>
      <c r="C19" s="587"/>
      <c r="D19" s="1167"/>
      <c r="E19" s="735"/>
      <c r="F19" s="589"/>
      <c r="G19" s="1406"/>
      <c r="H19" s="1407"/>
      <c r="I19" s="429"/>
      <c r="J19" s="429"/>
      <c r="K19" s="921"/>
      <c r="L19" s="921"/>
      <c r="M19" s="1164"/>
      <c r="N19" s="423">
        <f t="shared" ref="N19:N28" si="0">J19+K19+L19+M19</f>
        <v>0</v>
      </c>
      <c r="O19" s="1027"/>
      <c r="P19" s="1028"/>
      <c r="Q19" s="72"/>
      <c r="S19" s="782"/>
      <c r="T19" s="783"/>
      <c r="U19" s="783"/>
      <c r="V19" s="783"/>
      <c r="W19" s="783"/>
      <c r="X19" s="783"/>
      <c r="Y19" s="783"/>
      <c r="Z19" s="783"/>
      <c r="AA19" s="783"/>
      <c r="AB19" s="783"/>
      <c r="AC19" s="783"/>
      <c r="AD19" s="783"/>
      <c r="AE19" s="783"/>
      <c r="AF19" s="784"/>
    </row>
    <row r="20" spans="2:32" ht="23.1" customHeight="1">
      <c r="B20" s="80"/>
      <c r="C20" s="587"/>
      <c r="D20" s="410"/>
      <c r="E20" s="735"/>
      <c r="F20" s="589"/>
      <c r="G20" s="1234"/>
      <c r="H20" s="1236"/>
      <c r="I20" s="429"/>
      <c r="J20" s="429"/>
      <c r="K20" s="429"/>
      <c r="L20" s="429"/>
      <c r="M20" s="1165"/>
      <c r="N20" s="423">
        <f t="shared" si="0"/>
        <v>0</v>
      </c>
      <c r="O20" s="1027"/>
      <c r="P20" s="1166"/>
      <c r="Q20" s="72"/>
      <c r="S20" s="782"/>
      <c r="T20" s="783"/>
      <c r="U20" s="783"/>
      <c r="V20" s="783"/>
      <c r="W20" s="783"/>
      <c r="X20" s="783"/>
      <c r="Y20" s="783"/>
      <c r="Z20" s="783"/>
      <c r="AA20" s="783"/>
      <c r="AB20" s="783"/>
      <c r="AC20" s="783"/>
      <c r="AD20" s="783"/>
      <c r="AE20" s="783"/>
      <c r="AF20" s="784"/>
    </row>
    <row r="21" spans="2:32" ht="23.1" customHeight="1">
      <c r="B21" s="80"/>
      <c r="C21" s="587"/>
      <c r="D21" s="410"/>
      <c r="E21" s="735"/>
      <c r="F21" s="589"/>
      <c r="G21" s="1234"/>
      <c r="H21" s="1236"/>
      <c r="I21" s="429"/>
      <c r="J21" s="429"/>
      <c r="K21" s="429"/>
      <c r="L21" s="429"/>
      <c r="M21" s="1165"/>
      <c r="N21" s="423">
        <f t="shared" si="0"/>
        <v>0</v>
      </c>
      <c r="O21" s="1027"/>
      <c r="P21" s="1166"/>
      <c r="Q21" s="72"/>
      <c r="S21" s="782"/>
      <c r="T21" s="783"/>
      <c r="U21" s="783"/>
      <c r="V21" s="783"/>
      <c r="W21" s="783"/>
      <c r="X21" s="783"/>
      <c r="Y21" s="783"/>
      <c r="Z21" s="783"/>
      <c r="AA21" s="783"/>
      <c r="AB21" s="783"/>
      <c r="AC21" s="783"/>
      <c r="AD21" s="783"/>
      <c r="AE21" s="783"/>
      <c r="AF21" s="784"/>
    </row>
    <row r="22" spans="2:32" ht="23.1" customHeight="1">
      <c r="B22" s="80"/>
      <c r="C22" s="587"/>
      <c r="D22" s="410"/>
      <c r="E22" s="735"/>
      <c r="F22" s="589"/>
      <c r="G22" s="1234"/>
      <c r="H22" s="1236"/>
      <c r="I22" s="429"/>
      <c r="J22" s="429"/>
      <c r="K22" s="429"/>
      <c r="L22" s="429"/>
      <c r="M22" s="1165"/>
      <c r="N22" s="423">
        <f t="shared" si="0"/>
        <v>0</v>
      </c>
      <c r="O22" s="1027"/>
      <c r="P22" s="1166"/>
      <c r="Q22" s="72"/>
      <c r="S22" s="782"/>
      <c r="T22" s="783"/>
      <c r="U22" s="783"/>
      <c r="V22" s="783"/>
      <c r="W22" s="783"/>
      <c r="X22" s="783"/>
      <c r="Y22" s="783"/>
      <c r="Z22" s="783"/>
      <c r="AA22" s="783"/>
      <c r="AB22" s="783"/>
      <c r="AC22" s="783"/>
      <c r="AD22" s="783"/>
      <c r="AE22" s="783"/>
      <c r="AF22" s="784"/>
    </row>
    <row r="23" spans="2:32" ht="23.1" customHeight="1">
      <c r="B23" s="80"/>
      <c r="C23" s="587"/>
      <c r="D23" s="410"/>
      <c r="E23" s="735"/>
      <c r="F23" s="588"/>
      <c r="G23" s="1234"/>
      <c r="H23" s="1236"/>
      <c r="I23" s="429"/>
      <c r="J23" s="429"/>
      <c r="K23" s="915"/>
      <c r="L23" s="429"/>
      <c r="M23" s="1165"/>
      <c r="N23" s="423">
        <f t="shared" si="0"/>
        <v>0</v>
      </c>
      <c r="O23" s="1029"/>
      <c r="P23" s="1030"/>
      <c r="Q23" s="72"/>
      <c r="S23" s="782"/>
      <c r="T23" s="783"/>
      <c r="U23" s="783"/>
      <c r="V23" s="783"/>
      <c r="W23" s="783"/>
      <c r="X23" s="783"/>
      <c r="Y23" s="783"/>
      <c r="Z23" s="783"/>
      <c r="AA23" s="783"/>
      <c r="AB23" s="783"/>
      <c r="AC23" s="783"/>
      <c r="AD23" s="783"/>
      <c r="AE23" s="783"/>
      <c r="AF23" s="784"/>
    </row>
    <row r="24" spans="2:32" ht="23.1" customHeight="1">
      <c r="B24" s="80"/>
      <c r="C24" s="587"/>
      <c r="D24" s="410"/>
      <c r="E24" s="735"/>
      <c r="F24" s="588"/>
      <c r="G24" s="1234"/>
      <c r="H24" s="1236"/>
      <c r="I24" s="429"/>
      <c r="J24" s="429"/>
      <c r="K24" s="915"/>
      <c r="L24" s="429"/>
      <c r="M24" s="1165"/>
      <c r="N24" s="423">
        <f t="shared" si="0"/>
        <v>0</v>
      </c>
      <c r="O24" s="1029"/>
      <c r="P24" s="1030"/>
      <c r="Q24" s="72"/>
      <c r="S24" s="782"/>
      <c r="T24" s="783"/>
      <c r="U24" s="783"/>
      <c r="V24" s="783"/>
      <c r="W24" s="783"/>
      <c r="X24" s="783"/>
      <c r="Y24" s="783"/>
      <c r="Z24" s="783"/>
      <c r="AA24" s="783"/>
      <c r="AB24" s="783"/>
      <c r="AC24" s="783"/>
      <c r="AD24" s="783"/>
      <c r="AE24" s="783"/>
      <c r="AF24" s="784"/>
    </row>
    <row r="25" spans="2:32" ht="23.1" customHeight="1">
      <c r="B25" s="80"/>
      <c r="C25" s="587"/>
      <c r="D25" s="410"/>
      <c r="E25" s="735"/>
      <c r="F25" s="588"/>
      <c r="G25" s="1234"/>
      <c r="H25" s="1236"/>
      <c r="I25" s="429"/>
      <c r="J25" s="429"/>
      <c r="K25" s="915"/>
      <c r="L25" s="429"/>
      <c r="M25" s="1165"/>
      <c r="N25" s="423">
        <f t="shared" si="0"/>
        <v>0</v>
      </c>
      <c r="O25" s="1029"/>
      <c r="P25" s="1030"/>
      <c r="Q25" s="72"/>
      <c r="S25" s="782"/>
      <c r="T25" s="783"/>
      <c r="U25" s="783"/>
      <c r="V25" s="783"/>
      <c r="W25" s="783"/>
      <c r="X25" s="783"/>
      <c r="Y25" s="783"/>
      <c r="Z25" s="783"/>
      <c r="AA25" s="783"/>
      <c r="AB25" s="783"/>
      <c r="AC25" s="783"/>
      <c r="AD25" s="783"/>
      <c r="AE25" s="783"/>
      <c r="AF25" s="784"/>
    </row>
    <row r="26" spans="2:32" ht="23.1" customHeight="1">
      <c r="B26" s="80"/>
      <c r="C26" s="587"/>
      <c r="D26" s="410"/>
      <c r="E26" s="735"/>
      <c r="F26" s="588"/>
      <c r="G26" s="1234"/>
      <c r="H26" s="1236"/>
      <c r="I26" s="429"/>
      <c r="J26" s="429"/>
      <c r="K26" s="915"/>
      <c r="L26" s="429"/>
      <c r="M26" s="1165"/>
      <c r="N26" s="423">
        <f t="shared" si="0"/>
        <v>0</v>
      </c>
      <c r="O26" s="1029"/>
      <c r="P26" s="1030"/>
      <c r="Q26" s="72"/>
      <c r="S26" s="782"/>
      <c r="T26" s="783"/>
      <c r="U26" s="783"/>
      <c r="V26" s="783"/>
      <c r="W26" s="783"/>
      <c r="X26" s="783"/>
      <c r="Y26" s="783"/>
      <c r="Z26" s="783"/>
      <c r="AA26" s="783"/>
      <c r="AB26" s="783"/>
      <c r="AC26" s="783"/>
      <c r="AD26" s="783"/>
      <c r="AE26" s="783"/>
      <c r="AF26" s="784"/>
    </row>
    <row r="27" spans="2:32" ht="23.1" customHeight="1">
      <c r="B27" s="80"/>
      <c r="C27" s="587"/>
      <c r="D27" s="410"/>
      <c r="E27" s="735"/>
      <c r="F27" s="588"/>
      <c r="G27" s="1234"/>
      <c r="H27" s="1236"/>
      <c r="I27" s="429"/>
      <c r="J27" s="429"/>
      <c r="K27" s="915"/>
      <c r="L27" s="429"/>
      <c r="M27" s="1165"/>
      <c r="N27" s="423">
        <f t="shared" si="0"/>
        <v>0</v>
      </c>
      <c r="O27" s="1029"/>
      <c r="P27" s="1030"/>
      <c r="Q27" s="72"/>
      <c r="S27" s="782"/>
      <c r="T27" s="783"/>
      <c r="U27" s="783"/>
      <c r="V27" s="783"/>
      <c r="W27" s="783"/>
      <c r="X27" s="783"/>
      <c r="Y27" s="783"/>
      <c r="Z27" s="783"/>
      <c r="AA27" s="783"/>
      <c r="AB27" s="783"/>
      <c r="AC27" s="783"/>
      <c r="AD27" s="783"/>
      <c r="AE27" s="783"/>
      <c r="AF27" s="784"/>
    </row>
    <row r="28" spans="2:32" ht="23.1" customHeight="1">
      <c r="B28" s="80"/>
      <c r="C28" s="587"/>
      <c r="D28" s="410"/>
      <c r="E28" s="735"/>
      <c r="F28" s="588"/>
      <c r="G28" s="1267"/>
      <c r="H28" s="1269"/>
      <c r="I28" s="429"/>
      <c r="J28" s="429"/>
      <c r="K28" s="915"/>
      <c r="L28" s="429"/>
      <c r="M28" s="1165"/>
      <c r="N28" s="423">
        <f t="shared" si="0"/>
        <v>0</v>
      </c>
      <c r="O28" s="1029"/>
      <c r="P28" s="1030"/>
      <c r="Q28" s="72"/>
      <c r="S28" s="782"/>
      <c r="T28" s="783"/>
      <c r="U28" s="783"/>
      <c r="V28" s="783"/>
      <c r="W28" s="783"/>
      <c r="X28" s="783"/>
      <c r="Y28" s="783"/>
      <c r="Z28" s="783"/>
      <c r="AA28" s="783"/>
      <c r="AB28" s="783"/>
      <c r="AC28" s="783"/>
      <c r="AD28" s="783"/>
      <c r="AE28" s="783"/>
      <c r="AF28" s="784"/>
    </row>
    <row r="29" spans="2:32" ht="23.1" customHeight="1" thickBot="1">
      <c r="B29" s="80"/>
      <c r="C29" s="1402" t="str">
        <f>"SUBTOTAL APORTACIONES PLURIANUALES COMPROMETIDAS EJERCICIO "&amp;ejercicio+1&amp;" Y SIGUIENTES"</f>
        <v>SUBTOTAL APORTACIONES PLURIANUALES COMPROMETIDAS EJERCICIO 2026 Y SIGUIENTES</v>
      </c>
      <c r="D29" s="1403"/>
      <c r="E29" s="1403"/>
      <c r="F29" s="1403"/>
      <c r="G29" s="1403"/>
      <c r="H29" s="123"/>
      <c r="I29" s="156">
        <f>SUM(I19:I28)</f>
        <v>0</v>
      </c>
      <c r="J29" s="156">
        <f>SUM(J19:J28)</f>
        <v>0</v>
      </c>
      <c r="K29" s="156">
        <f>SUM(K19:K28)</f>
        <v>0</v>
      </c>
      <c r="L29" s="156">
        <f>SUM(L19:L28)</f>
        <v>0</v>
      </c>
      <c r="M29" s="1163"/>
      <c r="N29" s="424">
        <f>SUM(N19:N28)</f>
        <v>0</v>
      </c>
      <c r="O29" s="156">
        <f>SUM(O19:O28)</f>
        <v>0</v>
      </c>
      <c r="P29" s="119">
        <f>SUM(P19:P28)</f>
        <v>0</v>
      </c>
      <c r="Q29" s="72"/>
      <c r="S29" s="782"/>
      <c r="T29" s="783"/>
      <c r="U29" s="783"/>
      <c r="V29" s="783"/>
      <c r="W29" s="783"/>
      <c r="X29" s="783"/>
      <c r="Y29" s="783"/>
      <c r="Z29" s="783"/>
      <c r="AA29" s="783"/>
      <c r="AB29" s="783"/>
      <c r="AC29" s="783"/>
      <c r="AD29" s="783"/>
      <c r="AE29" s="783"/>
      <c r="AF29" s="784"/>
    </row>
    <row r="30" spans="2:32" ht="23.1" customHeight="1">
      <c r="B30" s="80"/>
      <c r="D30" s="906"/>
      <c r="E30" s="64"/>
      <c r="F30" s="64"/>
      <c r="G30" s="64"/>
      <c r="H30" s="64"/>
      <c r="I30" s="64"/>
      <c r="J30" s="64"/>
      <c r="K30" s="64"/>
      <c r="L30" s="64"/>
      <c r="M30" s="64"/>
      <c r="N30" s="64"/>
      <c r="O30" s="64"/>
      <c r="P30" s="64"/>
      <c r="Q30" s="72"/>
      <c r="S30" s="782"/>
      <c r="T30" s="783"/>
      <c r="U30" s="783"/>
      <c r="V30" s="783"/>
      <c r="W30" s="783"/>
      <c r="X30" s="783"/>
      <c r="Y30" s="783"/>
      <c r="Z30" s="783"/>
      <c r="AA30" s="783"/>
      <c r="AB30" s="783"/>
      <c r="AC30" s="783"/>
      <c r="AD30" s="783"/>
      <c r="AE30" s="783"/>
      <c r="AF30" s="784"/>
    </row>
    <row r="31" spans="2:32" ht="23.1" customHeight="1">
      <c r="B31" s="80"/>
      <c r="C31" s="348" t="str">
        <f>"B) APORTACIONES / SUBVENCIONES CUYA OBLIGACIÓN ES RECONOCIDA POR LA ENTIDAD OTORGANTE EN EL EJERCICIO  "&amp;ejercicio&amp;" Y/O EN LOS EJERCICIOS ANTERIORES"</f>
        <v>B) APORTACIONES / SUBVENCIONES CUYA OBLIGACIÓN ES RECONOCIDA POR LA ENTIDAD OTORGANTE EN EL EJERCICIO  2025 Y/O EN LOS EJERCICIOS ANTERIORES</v>
      </c>
      <c r="D31" s="906"/>
      <c r="E31" s="64"/>
      <c r="F31" s="64"/>
      <c r="G31" s="64"/>
      <c r="H31" s="64"/>
      <c r="I31" s="64"/>
      <c r="J31" s="64"/>
      <c r="K31" s="64"/>
      <c r="L31" s="64"/>
      <c r="M31" s="64"/>
      <c r="N31" s="64"/>
      <c r="O31" s="64"/>
      <c r="P31" s="64"/>
      <c r="Q31" s="72"/>
      <c r="S31" s="782"/>
      <c r="T31" s="783"/>
      <c r="U31" s="783"/>
      <c r="V31" s="783"/>
      <c r="W31" s="783"/>
      <c r="X31" s="783"/>
      <c r="Y31" s="783"/>
      <c r="Z31" s="783"/>
      <c r="AA31" s="783"/>
      <c r="AB31" s="783"/>
      <c r="AC31" s="783"/>
      <c r="AD31" s="783"/>
      <c r="AE31" s="783"/>
      <c r="AF31" s="784"/>
    </row>
    <row r="32" spans="2:32" s="17" customFormat="1" ht="42" customHeight="1">
      <c r="B32" s="80"/>
      <c r="C32" s="844" t="s">
        <v>918</v>
      </c>
      <c r="D32" s="1158" t="s">
        <v>919</v>
      </c>
      <c r="E32" s="844" t="s">
        <v>936</v>
      </c>
      <c r="F32" s="844" t="s">
        <v>921</v>
      </c>
      <c r="G32" s="1392" t="s">
        <v>922</v>
      </c>
      <c r="H32" s="1393"/>
      <c r="I32" s="844" t="s">
        <v>923</v>
      </c>
      <c r="J32" s="844" t="s">
        <v>924</v>
      </c>
      <c r="K32" s="844" t="s">
        <v>937</v>
      </c>
      <c r="L32" s="844" t="s">
        <v>938</v>
      </c>
      <c r="M32" s="844" t="s">
        <v>939</v>
      </c>
      <c r="N32" s="844" t="s">
        <v>652</v>
      </c>
      <c r="O32" s="1392" t="s">
        <v>927</v>
      </c>
      <c r="P32" s="1393"/>
      <c r="Q32" s="81"/>
      <c r="S32" s="1168"/>
      <c r="T32" s="1169"/>
      <c r="U32" s="1169"/>
      <c r="V32" s="1169"/>
      <c r="W32" s="1169"/>
      <c r="X32" s="1169"/>
      <c r="Y32" s="1169"/>
      <c r="Z32" s="1169"/>
      <c r="AA32" s="1169"/>
      <c r="AB32" s="1169"/>
      <c r="AC32" s="1169"/>
      <c r="AD32" s="1169"/>
      <c r="AE32" s="1169"/>
      <c r="AF32" s="1170"/>
    </row>
    <row r="33" spans="2:35" s="17" customFormat="1" ht="30.95" customHeight="1">
      <c r="B33" s="80"/>
      <c r="C33" s="1159" t="s">
        <v>928</v>
      </c>
      <c r="D33" s="1160" t="s">
        <v>929</v>
      </c>
      <c r="E33" s="1159" t="s">
        <v>940</v>
      </c>
      <c r="F33" s="1159" t="s">
        <v>931</v>
      </c>
      <c r="G33" s="1404" t="s">
        <v>932</v>
      </c>
      <c r="H33" s="1405"/>
      <c r="I33" s="1159" t="s">
        <v>941</v>
      </c>
      <c r="J33" s="1159">
        <f>ejercicio-1</f>
        <v>2024</v>
      </c>
      <c r="K33" s="1159">
        <f>ejercicio</f>
        <v>2025</v>
      </c>
      <c r="L33" s="1159">
        <f>ejercicio</f>
        <v>2025</v>
      </c>
      <c r="M33" s="1159">
        <f>ejercicio</f>
        <v>2025</v>
      </c>
      <c r="N33" s="1159">
        <f>ejercicio</f>
        <v>2025</v>
      </c>
      <c r="O33" s="1161" t="s">
        <v>934</v>
      </c>
      <c r="P33" s="1162" t="s">
        <v>935</v>
      </c>
      <c r="Q33" s="81"/>
      <c r="S33" s="1168"/>
      <c r="T33" s="1169"/>
      <c r="U33" s="1169"/>
      <c r="V33" s="1169"/>
      <c r="W33" s="1169"/>
      <c r="X33" s="1169"/>
      <c r="Y33" s="1169"/>
      <c r="Z33" s="1169"/>
      <c r="AA33" s="1169"/>
      <c r="AB33" s="1169"/>
      <c r="AC33" s="1169"/>
      <c r="AD33" s="1169"/>
      <c r="AE33" s="1169"/>
      <c r="AF33" s="1170"/>
    </row>
    <row r="34" spans="2:35" ht="23.1" customHeight="1">
      <c r="B34" s="80"/>
      <c r="C34" s="587"/>
      <c r="D34" s="599"/>
      <c r="E34" s="735"/>
      <c r="F34" s="589"/>
      <c r="G34" s="1234"/>
      <c r="H34" s="1236"/>
      <c r="I34" s="429"/>
      <c r="J34" s="429"/>
      <c r="K34" s="921"/>
      <c r="L34" s="921"/>
      <c r="M34" s="921"/>
      <c r="N34" s="423">
        <f>J34+K34+L34+M34</f>
        <v>0</v>
      </c>
      <c r="O34" s="1027"/>
      <c r="P34" s="1028"/>
      <c r="Q34" s="72"/>
      <c r="S34" s="782"/>
      <c r="T34" s="783"/>
      <c r="U34" s="783"/>
      <c r="V34" s="783"/>
      <c r="W34" s="783"/>
      <c r="X34" s="783"/>
      <c r="Y34" s="783"/>
      <c r="Z34" s="783"/>
      <c r="AA34" s="783"/>
      <c r="AB34" s="783"/>
      <c r="AC34" s="783"/>
      <c r="AD34" s="783"/>
      <c r="AE34" s="783"/>
      <c r="AF34" s="784"/>
      <c r="AI34" s="65" t="s">
        <v>942</v>
      </c>
    </row>
    <row r="35" spans="2:35" ht="23.1" customHeight="1">
      <c r="B35" s="80"/>
      <c r="C35" s="587"/>
      <c r="D35" s="410"/>
      <c r="E35" s="735"/>
      <c r="F35" s="588"/>
      <c r="G35" s="1234"/>
      <c r="H35" s="1236"/>
      <c r="I35" s="429"/>
      <c r="J35" s="429"/>
      <c r="K35" s="915"/>
      <c r="L35" s="429"/>
      <c r="M35" s="429"/>
      <c r="N35" s="423">
        <f t="shared" ref="N35:N58" si="1">J35+K35+L35+M35</f>
        <v>0</v>
      </c>
      <c r="O35" s="1029"/>
      <c r="P35" s="1030"/>
      <c r="Q35" s="72"/>
      <c r="S35" s="782"/>
      <c r="T35" s="783"/>
      <c r="U35" s="783"/>
      <c r="V35" s="783"/>
      <c r="W35" s="783"/>
      <c r="X35" s="783"/>
      <c r="Y35" s="783"/>
      <c r="Z35" s="783"/>
      <c r="AA35" s="783"/>
      <c r="AB35" s="783"/>
      <c r="AC35" s="783"/>
      <c r="AD35" s="783"/>
      <c r="AE35" s="783"/>
      <c r="AF35" s="784"/>
      <c r="AI35" s="65" t="s">
        <v>578</v>
      </c>
    </row>
    <row r="36" spans="2:35" ht="23.1" customHeight="1">
      <c r="B36" s="80"/>
      <c r="C36" s="587"/>
      <c r="D36" s="410"/>
      <c r="E36" s="735"/>
      <c r="F36" s="588"/>
      <c r="G36" s="1234"/>
      <c r="H36" s="1236"/>
      <c r="I36" s="429"/>
      <c r="J36" s="429"/>
      <c r="K36" s="915"/>
      <c r="L36" s="429"/>
      <c r="M36" s="429"/>
      <c r="N36" s="423">
        <f t="shared" si="1"/>
        <v>0</v>
      </c>
      <c r="O36" s="1029"/>
      <c r="P36" s="1030"/>
      <c r="Q36" s="72"/>
      <c r="S36" s="782"/>
      <c r="T36" s="783"/>
      <c r="U36" s="783"/>
      <c r="V36" s="783"/>
      <c r="W36" s="783"/>
      <c r="X36" s="783"/>
      <c r="Y36" s="783"/>
      <c r="Z36" s="783"/>
      <c r="AA36" s="783"/>
      <c r="AB36" s="783"/>
      <c r="AC36" s="783"/>
      <c r="AD36" s="783"/>
      <c r="AE36" s="783"/>
      <c r="AF36" s="784"/>
    </row>
    <row r="37" spans="2:35" ht="23.1" customHeight="1">
      <c r="B37" s="80"/>
      <c r="C37" s="587"/>
      <c r="D37" s="410"/>
      <c r="E37" s="735"/>
      <c r="F37" s="588"/>
      <c r="G37" s="1234"/>
      <c r="H37" s="1236"/>
      <c r="I37" s="429"/>
      <c r="J37" s="429"/>
      <c r="K37" s="915"/>
      <c r="L37" s="429"/>
      <c r="M37" s="429"/>
      <c r="N37" s="423">
        <f t="shared" si="1"/>
        <v>0</v>
      </c>
      <c r="O37" s="1029"/>
      <c r="P37" s="1030"/>
      <c r="Q37" s="72"/>
      <c r="S37" s="782"/>
      <c r="T37" s="783"/>
      <c r="U37" s="783"/>
      <c r="V37" s="783"/>
      <c r="W37" s="783"/>
      <c r="X37" s="783"/>
      <c r="Y37" s="783"/>
      <c r="Z37" s="783"/>
      <c r="AA37" s="783"/>
      <c r="AB37" s="783"/>
      <c r="AC37" s="783"/>
      <c r="AD37" s="783"/>
      <c r="AE37" s="783"/>
      <c r="AF37" s="784"/>
    </row>
    <row r="38" spans="2:35" ht="23.1" customHeight="1">
      <c r="B38" s="80"/>
      <c r="C38" s="587"/>
      <c r="D38" s="410"/>
      <c r="E38" s="735"/>
      <c r="F38" s="588"/>
      <c r="G38" s="1234"/>
      <c r="H38" s="1236"/>
      <c r="I38" s="429"/>
      <c r="J38" s="429"/>
      <c r="K38" s="915"/>
      <c r="L38" s="429"/>
      <c r="M38" s="429"/>
      <c r="N38" s="423">
        <f t="shared" si="1"/>
        <v>0</v>
      </c>
      <c r="O38" s="1029"/>
      <c r="P38" s="1030"/>
      <c r="Q38" s="72"/>
      <c r="S38" s="782"/>
      <c r="T38" s="783"/>
      <c r="U38" s="783"/>
      <c r="V38" s="783"/>
      <c r="W38" s="783"/>
      <c r="X38" s="783"/>
      <c r="Y38" s="783"/>
      <c r="Z38" s="783"/>
      <c r="AA38" s="783"/>
      <c r="AB38" s="783"/>
      <c r="AC38" s="783"/>
      <c r="AD38" s="783"/>
      <c r="AE38" s="783"/>
      <c r="AF38" s="784"/>
    </row>
    <row r="39" spans="2:35" ht="23.1" customHeight="1">
      <c r="B39" s="80"/>
      <c r="C39" s="587"/>
      <c r="D39" s="410"/>
      <c r="E39" s="735"/>
      <c r="F39" s="588"/>
      <c r="G39" s="1234"/>
      <c r="H39" s="1236"/>
      <c r="I39" s="429"/>
      <c r="J39" s="429"/>
      <c r="K39" s="915"/>
      <c r="L39" s="429"/>
      <c r="M39" s="429"/>
      <c r="N39" s="423">
        <f t="shared" si="1"/>
        <v>0</v>
      </c>
      <c r="O39" s="1029"/>
      <c r="P39" s="1030"/>
      <c r="Q39" s="72"/>
      <c r="S39" s="782"/>
      <c r="T39" s="783"/>
      <c r="U39" s="783"/>
      <c r="V39" s="783"/>
      <c r="W39" s="783"/>
      <c r="X39" s="783"/>
      <c r="Y39" s="783"/>
      <c r="Z39" s="783"/>
      <c r="AA39" s="783"/>
      <c r="AB39" s="783"/>
      <c r="AC39" s="783"/>
      <c r="AD39" s="783"/>
      <c r="AE39" s="783"/>
      <c r="AF39" s="784"/>
    </row>
    <row r="40" spans="2:35" ht="23.1" customHeight="1">
      <c r="B40" s="80"/>
      <c r="C40" s="587"/>
      <c r="D40" s="410"/>
      <c r="E40" s="735"/>
      <c r="F40" s="588"/>
      <c r="G40" s="1234"/>
      <c r="H40" s="1236"/>
      <c r="I40" s="429"/>
      <c r="J40" s="429"/>
      <c r="K40" s="915"/>
      <c r="L40" s="429"/>
      <c r="M40" s="429"/>
      <c r="N40" s="423">
        <f t="shared" si="1"/>
        <v>0</v>
      </c>
      <c r="O40" s="1029"/>
      <c r="P40" s="1030"/>
      <c r="Q40" s="72"/>
      <c r="S40" s="782"/>
      <c r="T40" s="783"/>
      <c r="U40" s="783"/>
      <c r="V40" s="783"/>
      <c r="W40" s="783"/>
      <c r="X40" s="783"/>
      <c r="Y40" s="783"/>
      <c r="Z40" s="783"/>
      <c r="AA40" s="783"/>
      <c r="AB40" s="783"/>
      <c r="AC40" s="783"/>
      <c r="AD40" s="783"/>
      <c r="AE40" s="783"/>
      <c r="AF40" s="784"/>
    </row>
    <row r="41" spans="2:35" ht="23.1" customHeight="1">
      <c r="B41" s="80"/>
      <c r="C41" s="587"/>
      <c r="D41" s="410"/>
      <c r="E41" s="735"/>
      <c r="F41" s="588"/>
      <c r="G41" s="1234"/>
      <c r="H41" s="1236"/>
      <c r="I41" s="429"/>
      <c r="J41" s="429"/>
      <c r="K41" s="915"/>
      <c r="L41" s="429"/>
      <c r="M41" s="429"/>
      <c r="N41" s="423">
        <f t="shared" si="1"/>
        <v>0</v>
      </c>
      <c r="O41" s="1029"/>
      <c r="P41" s="1030"/>
      <c r="Q41" s="72"/>
      <c r="S41" s="782"/>
      <c r="T41" s="783"/>
      <c r="U41" s="783"/>
      <c r="V41" s="783"/>
      <c r="W41" s="783"/>
      <c r="X41" s="783"/>
      <c r="Y41" s="783"/>
      <c r="Z41" s="783"/>
      <c r="AA41" s="783"/>
      <c r="AB41" s="783"/>
      <c r="AC41" s="783"/>
      <c r="AD41" s="783"/>
      <c r="AE41" s="783"/>
      <c r="AF41" s="784"/>
    </row>
    <row r="42" spans="2:35" ht="23.1" customHeight="1">
      <c r="B42" s="80"/>
      <c r="C42" s="587"/>
      <c r="D42" s="410"/>
      <c r="E42" s="735"/>
      <c r="F42" s="588"/>
      <c r="G42" s="1234"/>
      <c r="H42" s="1236"/>
      <c r="I42" s="429"/>
      <c r="J42" s="429"/>
      <c r="K42" s="915"/>
      <c r="L42" s="429"/>
      <c r="M42" s="429"/>
      <c r="N42" s="423">
        <f t="shared" si="1"/>
        <v>0</v>
      </c>
      <c r="O42" s="1029"/>
      <c r="P42" s="1030"/>
      <c r="Q42" s="72"/>
      <c r="S42" s="782"/>
      <c r="T42" s="783"/>
      <c r="U42" s="783"/>
      <c r="V42" s="783"/>
      <c r="W42" s="783"/>
      <c r="X42" s="783"/>
      <c r="Y42" s="783"/>
      <c r="Z42" s="783"/>
      <c r="AA42" s="783"/>
      <c r="AB42" s="783"/>
      <c r="AC42" s="783"/>
      <c r="AD42" s="783"/>
      <c r="AE42" s="783"/>
      <c r="AF42" s="784"/>
    </row>
    <row r="43" spans="2:35" ht="23.1" customHeight="1">
      <c r="B43" s="80"/>
      <c r="C43" s="587"/>
      <c r="D43" s="410"/>
      <c r="E43" s="735"/>
      <c r="F43" s="588"/>
      <c r="G43" s="1234"/>
      <c r="H43" s="1236"/>
      <c r="I43" s="429"/>
      <c r="J43" s="429"/>
      <c r="K43" s="915"/>
      <c r="L43" s="429"/>
      <c r="M43" s="429"/>
      <c r="N43" s="423">
        <f t="shared" si="1"/>
        <v>0</v>
      </c>
      <c r="O43" s="1029"/>
      <c r="P43" s="1030"/>
      <c r="Q43" s="72"/>
      <c r="S43" s="782"/>
      <c r="T43" s="783"/>
      <c r="U43" s="783"/>
      <c r="V43" s="783"/>
      <c r="W43" s="783"/>
      <c r="X43" s="783"/>
      <c r="Y43" s="783"/>
      <c r="Z43" s="783"/>
      <c r="AA43" s="783"/>
      <c r="AB43" s="783"/>
      <c r="AC43" s="783"/>
      <c r="AD43" s="783"/>
      <c r="AE43" s="783"/>
      <c r="AF43" s="784"/>
    </row>
    <row r="44" spans="2:35" ht="23.1" customHeight="1">
      <c r="B44" s="80"/>
      <c r="C44" s="587"/>
      <c r="D44" s="410"/>
      <c r="E44" s="735"/>
      <c r="F44" s="588"/>
      <c r="G44" s="1234"/>
      <c r="H44" s="1236"/>
      <c r="I44" s="429"/>
      <c r="J44" s="429"/>
      <c r="K44" s="915"/>
      <c r="L44" s="429"/>
      <c r="M44" s="429"/>
      <c r="N44" s="423">
        <f t="shared" si="1"/>
        <v>0</v>
      </c>
      <c r="O44" s="1029"/>
      <c r="P44" s="1030"/>
      <c r="Q44" s="72"/>
      <c r="S44" s="782"/>
      <c r="T44" s="783"/>
      <c r="U44" s="783"/>
      <c r="V44" s="783"/>
      <c r="W44" s="783"/>
      <c r="X44" s="783"/>
      <c r="Y44" s="783"/>
      <c r="Z44" s="783"/>
      <c r="AA44" s="783"/>
      <c r="AB44" s="783"/>
      <c r="AC44" s="783"/>
      <c r="AD44" s="783"/>
      <c r="AE44" s="783"/>
      <c r="AF44" s="784"/>
    </row>
    <row r="45" spans="2:35" ht="23.1" customHeight="1">
      <c r="B45" s="80"/>
      <c r="C45" s="587"/>
      <c r="D45" s="410"/>
      <c r="E45" s="735"/>
      <c r="F45" s="588"/>
      <c r="G45" s="1234"/>
      <c r="H45" s="1236"/>
      <c r="I45" s="429"/>
      <c r="J45" s="429"/>
      <c r="K45" s="915"/>
      <c r="L45" s="429"/>
      <c r="M45" s="429"/>
      <c r="N45" s="423">
        <f t="shared" si="1"/>
        <v>0</v>
      </c>
      <c r="O45" s="1029"/>
      <c r="P45" s="1030"/>
      <c r="Q45" s="72"/>
      <c r="S45" s="782"/>
      <c r="T45" s="783"/>
      <c r="U45" s="783"/>
      <c r="V45" s="783"/>
      <c r="W45" s="783"/>
      <c r="X45" s="783"/>
      <c r="Y45" s="783"/>
      <c r="Z45" s="783"/>
      <c r="AA45" s="783"/>
      <c r="AB45" s="783"/>
      <c r="AC45" s="783"/>
      <c r="AD45" s="783"/>
      <c r="AE45" s="783"/>
      <c r="AF45" s="784"/>
    </row>
    <row r="46" spans="2:35" ht="23.1" customHeight="1">
      <c r="B46" s="80"/>
      <c r="C46" s="587"/>
      <c r="D46" s="410"/>
      <c r="E46" s="735"/>
      <c r="F46" s="588"/>
      <c r="G46" s="1234"/>
      <c r="H46" s="1236"/>
      <c r="I46" s="429"/>
      <c r="J46" s="429"/>
      <c r="K46" s="915"/>
      <c r="L46" s="429"/>
      <c r="M46" s="429"/>
      <c r="N46" s="423">
        <f t="shared" si="1"/>
        <v>0</v>
      </c>
      <c r="O46" s="1029"/>
      <c r="P46" s="1030"/>
      <c r="Q46" s="72"/>
      <c r="S46" s="782"/>
      <c r="T46" s="783"/>
      <c r="U46" s="783"/>
      <c r="V46" s="783"/>
      <c r="W46" s="783"/>
      <c r="X46" s="783"/>
      <c r="Y46" s="783"/>
      <c r="Z46" s="783"/>
      <c r="AA46" s="783"/>
      <c r="AB46" s="783"/>
      <c r="AC46" s="783"/>
      <c r="AD46" s="783"/>
      <c r="AE46" s="783"/>
      <c r="AF46" s="784"/>
    </row>
    <row r="47" spans="2:35" ht="23.1" customHeight="1">
      <c r="B47" s="80"/>
      <c r="C47" s="587"/>
      <c r="D47" s="410"/>
      <c r="E47" s="735"/>
      <c r="F47" s="588"/>
      <c r="G47" s="1234"/>
      <c r="H47" s="1236"/>
      <c r="I47" s="429"/>
      <c r="J47" s="429"/>
      <c r="K47" s="915"/>
      <c r="L47" s="429"/>
      <c r="M47" s="429"/>
      <c r="N47" s="423">
        <f t="shared" si="1"/>
        <v>0</v>
      </c>
      <c r="O47" s="1029"/>
      <c r="P47" s="1030"/>
      <c r="Q47" s="72"/>
      <c r="S47" s="782"/>
      <c r="T47" s="783"/>
      <c r="U47" s="783"/>
      <c r="V47" s="783"/>
      <c r="W47" s="783"/>
      <c r="X47" s="783"/>
      <c r="Y47" s="783"/>
      <c r="Z47" s="783"/>
      <c r="AA47" s="783"/>
      <c r="AB47" s="783"/>
      <c r="AC47" s="783"/>
      <c r="AD47" s="783"/>
      <c r="AE47" s="783"/>
      <c r="AF47" s="784"/>
    </row>
    <row r="48" spans="2:35" ht="23.1" customHeight="1">
      <c r="B48" s="80"/>
      <c r="C48" s="587"/>
      <c r="D48" s="410"/>
      <c r="E48" s="735"/>
      <c r="F48" s="588"/>
      <c r="G48" s="1234"/>
      <c r="H48" s="1236"/>
      <c r="I48" s="429"/>
      <c r="J48" s="429"/>
      <c r="K48" s="915"/>
      <c r="L48" s="429"/>
      <c r="M48" s="429"/>
      <c r="N48" s="423">
        <f t="shared" si="1"/>
        <v>0</v>
      </c>
      <c r="O48" s="1029"/>
      <c r="P48" s="1030"/>
      <c r="Q48" s="72"/>
      <c r="S48" s="782"/>
      <c r="T48" s="783"/>
      <c r="U48" s="783"/>
      <c r="V48" s="783"/>
      <c r="W48" s="783"/>
      <c r="X48" s="783"/>
      <c r="Y48" s="783"/>
      <c r="Z48" s="783"/>
      <c r="AA48" s="783"/>
      <c r="AB48" s="783"/>
      <c r="AC48" s="783"/>
      <c r="AD48" s="783"/>
      <c r="AE48" s="783"/>
      <c r="AF48" s="784"/>
    </row>
    <row r="49" spans="2:32" ht="23.1" customHeight="1">
      <c r="B49" s="80"/>
      <c r="C49" s="587"/>
      <c r="D49" s="410"/>
      <c r="E49" s="735"/>
      <c r="F49" s="588"/>
      <c r="G49" s="1234"/>
      <c r="H49" s="1236"/>
      <c r="I49" s="429"/>
      <c r="J49" s="429"/>
      <c r="K49" s="915"/>
      <c r="L49" s="429"/>
      <c r="M49" s="429"/>
      <c r="N49" s="423">
        <f t="shared" si="1"/>
        <v>0</v>
      </c>
      <c r="O49" s="1029"/>
      <c r="P49" s="1030"/>
      <c r="Q49" s="72"/>
      <c r="S49" s="782"/>
      <c r="T49" s="783"/>
      <c r="U49" s="783"/>
      <c r="V49" s="783"/>
      <c r="W49" s="783"/>
      <c r="X49" s="783"/>
      <c r="Y49" s="783"/>
      <c r="Z49" s="783"/>
      <c r="AA49" s="783"/>
      <c r="AB49" s="783"/>
      <c r="AC49" s="783"/>
      <c r="AD49" s="783"/>
      <c r="AE49" s="783"/>
      <c r="AF49" s="784"/>
    </row>
    <row r="50" spans="2:32" ht="23.1" customHeight="1">
      <c r="B50" s="80"/>
      <c r="C50" s="587"/>
      <c r="D50" s="410"/>
      <c r="E50" s="735"/>
      <c r="F50" s="588"/>
      <c r="G50" s="1234"/>
      <c r="H50" s="1236"/>
      <c r="I50" s="429"/>
      <c r="J50" s="429"/>
      <c r="K50" s="915"/>
      <c r="L50" s="429"/>
      <c r="M50" s="429"/>
      <c r="N50" s="423">
        <f t="shared" si="1"/>
        <v>0</v>
      </c>
      <c r="O50" s="1029"/>
      <c r="P50" s="1030"/>
      <c r="Q50" s="72"/>
      <c r="S50" s="782"/>
      <c r="T50" s="783"/>
      <c r="U50" s="783"/>
      <c r="V50" s="783"/>
      <c r="W50" s="783"/>
      <c r="X50" s="783"/>
      <c r="Y50" s="783"/>
      <c r="Z50" s="783"/>
      <c r="AA50" s="783"/>
      <c r="AB50" s="783"/>
      <c r="AC50" s="783"/>
      <c r="AD50" s="783"/>
      <c r="AE50" s="783"/>
      <c r="AF50" s="784"/>
    </row>
    <row r="51" spans="2:32" ht="23.1" customHeight="1">
      <c r="B51" s="80"/>
      <c r="C51" s="587"/>
      <c r="D51" s="410"/>
      <c r="E51" s="735"/>
      <c r="F51" s="588"/>
      <c r="G51" s="1234"/>
      <c r="H51" s="1236"/>
      <c r="I51" s="429"/>
      <c r="J51" s="429"/>
      <c r="K51" s="915"/>
      <c r="L51" s="429"/>
      <c r="M51" s="429"/>
      <c r="N51" s="423">
        <f t="shared" si="1"/>
        <v>0</v>
      </c>
      <c r="O51" s="1029"/>
      <c r="P51" s="1030"/>
      <c r="Q51" s="72"/>
      <c r="S51" s="782"/>
      <c r="T51" s="783"/>
      <c r="U51" s="783"/>
      <c r="V51" s="783"/>
      <c r="W51" s="783"/>
      <c r="X51" s="783"/>
      <c r="Y51" s="783"/>
      <c r="Z51" s="783"/>
      <c r="AA51" s="783"/>
      <c r="AB51" s="783"/>
      <c r="AC51" s="783"/>
      <c r="AD51" s="783"/>
      <c r="AE51" s="783"/>
      <c r="AF51" s="784"/>
    </row>
    <row r="52" spans="2:32" ht="23.1" customHeight="1">
      <c r="B52" s="80"/>
      <c r="C52" s="587"/>
      <c r="D52" s="410"/>
      <c r="E52" s="735"/>
      <c r="F52" s="588"/>
      <c r="G52" s="1234"/>
      <c r="H52" s="1236"/>
      <c r="I52" s="429"/>
      <c r="J52" s="429"/>
      <c r="K52" s="915"/>
      <c r="L52" s="429"/>
      <c r="M52" s="429"/>
      <c r="N52" s="423">
        <f t="shared" si="1"/>
        <v>0</v>
      </c>
      <c r="O52" s="1029"/>
      <c r="P52" s="1030"/>
      <c r="Q52" s="72"/>
      <c r="S52" s="782"/>
      <c r="T52" s="783"/>
      <c r="U52" s="783"/>
      <c r="V52" s="783"/>
      <c r="W52" s="783"/>
      <c r="X52" s="783"/>
      <c r="Y52" s="783"/>
      <c r="Z52" s="783"/>
      <c r="AA52" s="783"/>
      <c r="AB52" s="783"/>
      <c r="AC52" s="783"/>
      <c r="AD52" s="783"/>
      <c r="AE52" s="783"/>
      <c r="AF52" s="784"/>
    </row>
    <row r="53" spans="2:32" ht="23.1" customHeight="1">
      <c r="B53" s="80"/>
      <c r="C53" s="587"/>
      <c r="D53" s="410"/>
      <c r="E53" s="735"/>
      <c r="F53" s="588"/>
      <c r="G53" s="1234"/>
      <c r="H53" s="1236"/>
      <c r="I53" s="429"/>
      <c r="J53" s="429"/>
      <c r="K53" s="915"/>
      <c r="L53" s="429"/>
      <c r="M53" s="429"/>
      <c r="N53" s="423">
        <f>J53+K53+L53+M53</f>
        <v>0</v>
      </c>
      <c r="O53" s="1029"/>
      <c r="P53" s="1030"/>
      <c r="Q53" s="72"/>
      <c r="S53" s="782"/>
      <c r="T53" s="783"/>
      <c r="U53" s="783"/>
      <c r="V53" s="783"/>
      <c r="W53" s="783"/>
      <c r="X53" s="783"/>
      <c r="Y53" s="783"/>
      <c r="Z53" s="783"/>
      <c r="AA53" s="783"/>
      <c r="AB53" s="783"/>
      <c r="AC53" s="783"/>
      <c r="AD53" s="783"/>
      <c r="AE53" s="783"/>
      <c r="AF53" s="784"/>
    </row>
    <row r="54" spans="2:32" ht="23.1" customHeight="1">
      <c r="B54" s="80"/>
      <c r="C54" s="587"/>
      <c r="D54" s="410"/>
      <c r="E54" s="735"/>
      <c r="F54" s="588"/>
      <c r="G54" s="1234"/>
      <c r="H54" s="1236"/>
      <c r="I54" s="429"/>
      <c r="J54" s="429"/>
      <c r="K54" s="915"/>
      <c r="L54" s="429"/>
      <c r="M54" s="429"/>
      <c r="N54" s="423">
        <f t="shared" si="1"/>
        <v>0</v>
      </c>
      <c r="O54" s="1029"/>
      <c r="P54" s="1030"/>
      <c r="Q54" s="72"/>
      <c r="S54" s="782"/>
      <c r="T54" s="783"/>
      <c r="U54" s="783"/>
      <c r="V54" s="783"/>
      <c r="W54" s="783"/>
      <c r="X54" s="783"/>
      <c r="Y54" s="783"/>
      <c r="Z54" s="783"/>
      <c r="AA54" s="783"/>
      <c r="AB54" s="783"/>
      <c r="AC54" s="783"/>
      <c r="AD54" s="783"/>
      <c r="AE54" s="783"/>
      <c r="AF54" s="784"/>
    </row>
    <row r="55" spans="2:32" ht="23.1" customHeight="1">
      <c r="B55" s="80"/>
      <c r="C55" s="587"/>
      <c r="D55" s="410"/>
      <c r="E55" s="735"/>
      <c r="F55" s="588"/>
      <c r="G55" s="1234"/>
      <c r="H55" s="1236"/>
      <c r="I55" s="429"/>
      <c r="J55" s="429"/>
      <c r="K55" s="915"/>
      <c r="L55" s="429"/>
      <c r="M55" s="429"/>
      <c r="N55" s="423">
        <f t="shared" si="1"/>
        <v>0</v>
      </c>
      <c r="O55" s="1029"/>
      <c r="P55" s="1030"/>
      <c r="Q55" s="72"/>
      <c r="S55" s="782"/>
      <c r="T55" s="783"/>
      <c r="U55" s="783"/>
      <c r="V55" s="783"/>
      <c r="W55" s="783"/>
      <c r="X55" s="783"/>
      <c r="Y55" s="783"/>
      <c r="Z55" s="783"/>
      <c r="AA55" s="783"/>
      <c r="AB55" s="783"/>
      <c r="AC55" s="783"/>
      <c r="AD55" s="783"/>
      <c r="AE55" s="783"/>
      <c r="AF55" s="784"/>
    </row>
    <row r="56" spans="2:32" ht="23.1" customHeight="1">
      <c r="B56" s="80"/>
      <c r="C56" s="587"/>
      <c r="D56" s="410"/>
      <c r="E56" s="735"/>
      <c r="F56" s="588"/>
      <c r="G56" s="1234"/>
      <c r="H56" s="1236"/>
      <c r="I56" s="429"/>
      <c r="J56" s="429"/>
      <c r="K56" s="915"/>
      <c r="L56" s="429"/>
      <c r="M56" s="429"/>
      <c r="N56" s="423">
        <f t="shared" si="1"/>
        <v>0</v>
      </c>
      <c r="O56" s="1029"/>
      <c r="P56" s="1030"/>
      <c r="Q56" s="72"/>
      <c r="S56" s="782"/>
      <c r="T56" s="783"/>
      <c r="U56" s="783"/>
      <c r="V56" s="783"/>
      <c r="W56" s="783"/>
      <c r="X56" s="783"/>
      <c r="Y56" s="783"/>
      <c r="Z56" s="783"/>
      <c r="AA56" s="783"/>
      <c r="AB56" s="783"/>
      <c r="AC56" s="783"/>
      <c r="AD56" s="783"/>
      <c r="AE56" s="783"/>
      <c r="AF56" s="784"/>
    </row>
    <row r="57" spans="2:32" ht="23.1" customHeight="1">
      <c r="B57" s="80"/>
      <c r="C57" s="587"/>
      <c r="D57" s="1031"/>
      <c r="E57" s="736"/>
      <c r="F57" s="1032"/>
      <c r="G57" s="1234"/>
      <c r="H57" s="1236"/>
      <c r="I57" s="915"/>
      <c r="J57" s="915"/>
      <c r="K57" s="915"/>
      <c r="L57" s="915"/>
      <c r="M57" s="915"/>
      <c r="N57" s="423">
        <f t="shared" si="1"/>
        <v>0</v>
      </c>
      <c r="O57" s="1029"/>
      <c r="P57" s="1030"/>
      <c r="Q57" s="72"/>
      <c r="S57" s="782"/>
      <c r="T57" s="783"/>
      <c r="U57" s="783"/>
      <c r="V57" s="783"/>
      <c r="W57" s="783"/>
      <c r="X57" s="783"/>
      <c r="Y57" s="783"/>
      <c r="Z57" s="783"/>
      <c r="AA57" s="783"/>
      <c r="AB57" s="783"/>
      <c r="AC57" s="783"/>
      <c r="AD57" s="783"/>
      <c r="AE57" s="783"/>
      <c r="AF57" s="784"/>
    </row>
    <row r="58" spans="2:32" ht="23.1" customHeight="1">
      <c r="B58" s="80"/>
      <c r="C58" s="587"/>
      <c r="D58" s="1033"/>
      <c r="E58" s="737"/>
      <c r="F58" s="1034"/>
      <c r="G58" s="1234"/>
      <c r="H58" s="1236"/>
      <c r="I58" s="917"/>
      <c r="J58" s="917"/>
      <c r="K58" s="917"/>
      <c r="L58" s="917"/>
      <c r="M58" s="917"/>
      <c r="N58" s="423">
        <f t="shared" si="1"/>
        <v>0</v>
      </c>
      <c r="O58" s="1035"/>
      <c r="P58" s="1036"/>
      <c r="Q58" s="72"/>
      <c r="R58" s="1207"/>
      <c r="S58" s="782"/>
      <c r="T58" s="783"/>
      <c r="U58" s="783"/>
      <c r="V58" s="783"/>
      <c r="W58" s="783"/>
      <c r="X58" s="783"/>
      <c r="Y58" s="783"/>
      <c r="Z58" s="783"/>
      <c r="AA58" s="783"/>
      <c r="AB58" s="783"/>
      <c r="AC58" s="783"/>
      <c r="AD58" s="783"/>
      <c r="AE58" s="783"/>
      <c r="AF58" s="784"/>
    </row>
    <row r="59" spans="2:32" ht="23.1" customHeight="1" thickBot="1">
      <c r="B59" s="80"/>
      <c r="C59" s="1402" t="s">
        <v>943</v>
      </c>
      <c r="D59" s="1403"/>
      <c r="E59" s="1403"/>
      <c r="F59" s="1403"/>
      <c r="G59" s="1403"/>
      <c r="H59" s="123"/>
      <c r="I59" s="156">
        <f>SUM(I34:I58)</f>
        <v>0</v>
      </c>
      <c r="J59" s="156">
        <f t="shared" ref="J59:P59" si="2">SUM(J34:J58)</f>
        <v>0</v>
      </c>
      <c r="K59" s="156">
        <f t="shared" si="2"/>
        <v>0</v>
      </c>
      <c r="L59" s="156">
        <f t="shared" si="2"/>
        <v>0</v>
      </c>
      <c r="M59" s="156">
        <f t="shared" si="2"/>
        <v>0</v>
      </c>
      <c r="N59" s="424">
        <f t="shared" si="2"/>
        <v>0</v>
      </c>
      <c r="O59" s="156">
        <f t="shared" si="2"/>
        <v>0</v>
      </c>
      <c r="P59" s="119">
        <f t="shared" si="2"/>
        <v>0</v>
      </c>
      <c r="Q59" s="72"/>
      <c r="R59" s="1208">
        <f>SUM(I59:P59)</f>
        <v>0</v>
      </c>
      <c r="S59" s="782"/>
      <c r="T59" s="783"/>
      <c r="U59" s="783"/>
      <c r="V59" s="783"/>
      <c r="W59" s="783"/>
      <c r="X59" s="783"/>
      <c r="Y59" s="783"/>
      <c r="Z59" s="783"/>
      <c r="AA59" s="783"/>
      <c r="AB59" s="783"/>
      <c r="AC59" s="783"/>
      <c r="AD59" s="783"/>
      <c r="AE59" s="783"/>
      <c r="AF59" s="784"/>
    </row>
    <row r="60" spans="2:32" ht="23.1" customHeight="1">
      <c r="B60" s="80"/>
      <c r="C60" s="1396" t="s">
        <v>944</v>
      </c>
      <c r="D60" s="1397"/>
      <c r="E60" s="1397"/>
      <c r="F60" s="1397"/>
      <c r="G60" s="1397"/>
      <c r="H60" s="836"/>
      <c r="I60" s="729">
        <f>SUMIF($C$34:$C$58,"Corriente",$I$34:$I$58)</f>
        <v>0</v>
      </c>
      <c r="J60" s="729">
        <f>SUMIF($C$34:$C$58,"Corriente",$J$34:$J$58)</f>
        <v>0</v>
      </c>
      <c r="K60" s="729">
        <f>SUMIF($C$34:$C$58,"Corriente",$K$34:$K$58)</f>
        <v>0</v>
      </c>
      <c r="L60" s="729">
        <f>SUMIF($C$34:$C$58,"Corriente",$L$34:$L$58)</f>
        <v>0</v>
      </c>
      <c r="M60" s="729">
        <f>SUMIF($C$34:$C$58,"Corriente",$M$34:$M$58)</f>
        <v>0</v>
      </c>
      <c r="N60" s="730">
        <f>SUMIF($C$34:$C$58,"Corriente",$N$34:$N$58)</f>
        <v>0</v>
      </c>
      <c r="O60" s="729">
        <f>SUMIF($C$34:$C$58,"Corriente",$O$34:$O$58)</f>
        <v>0</v>
      </c>
      <c r="P60" s="729">
        <f>SUMIF($C$34:$C$58,"Corriente",$P$34:$P$58)</f>
        <v>0</v>
      </c>
      <c r="Q60" s="72"/>
      <c r="R60" s="1208">
        <f>SUM(I60:P60)</f>
        <v>0</v>
      </c>
      <c r="S60" s="782"/>
      <c r="T60" s="783"/>
      <c r="U60" s="783"/>
      <c r="V60" s="783"/>
      <c r="W60" s="783"/>
      <c r="X60" s="783"/>
      <c r="Y60" s="783"/>
      <c r="Z60" s="783"/>
      <c r="AA60" s="783"/>
      <c r="AB60" s="783"/>
      <c r="AC60" s="783"/>
      <c r="AD60" s="783"/>
      <c r="AE60" s="783"/>
      <c r="AF60" s="784"/>
    </row>
    <row r="61" spans="2:32" ht="23.1" customHeight="1">
      <c r="B61" s="80"/>
      <c r="C61" s="1394">
        <f>ejercicio</f>
        <v>2025</v>
      </c>
      <c r="D61" s="1395"/>
      <c r="E61" s="1395"/>
      <c r="F61" s="1395"/>
      <c r="G61" s="1395"/>
      <c r="H61" s="834"/>
      <c r="I61" s="731">
        <f t="shared" ref="I61:P61" si="3">SUMIFS(I34:I58,$C$34:$C$58,"Corriente",$E$34:$E$58,ejercicio)</f>
        <v>0</v>
      </c>
      <c r="J61" s="731">
        <f t="shared" si="3"/>
        <v>0</v>
      </c>
      <c r="K61" s="731">
        <f t="shared" si="3"/>
        <v>0</v>
      </c>
      <c r="L61" s="731">
        <f t="shared" si="3"/>
        <v>0</v>
      </c>
      <c r="M61" s="731">
        <f t="shared" si="3"/>
        <v>0</v>
      </c>
      <c r="N61" s="732">
        <f t="shared" si="3"/>
        <v>0</v>
      </c>
      <c r="O61" s="731">
        <f t="shared" si="3"/>
        <v>0</v>
      </c>
      <c r="P61" s="731">
        <f t="shared" si="3"/>
        <v>0</v>
      </c>
      <c r="Q61" s="72"/>
      <c r="R61" s="1176"/>
      <c r="S61" s="782"/>
      <c r="T61" s="783"/>
      <c r="U61" s="783"/>
      <c r="V61" s="783"/>
      <c r="W61" s="783"/>
      <c r="X61" s="783"/>
      <c r="Y61" s="783"/>
      <c r="Z61" s="783"/>
      <c r="AA61" s="783"/>
      <c r="AB61" s="783"/>
      <c r="AC61" s="783"/>
      <c r="AD61" s="783"/>
      <c r="AE61" s="783"/>
      <c r="AF61" s="784"/>
    </row>
    <row r="62" spans="2:32" ht="23.1" customHeight="1" thickBot="1">
      <c r="B62" s="80"/>
      <c r="C62" s="1398" t="s">
        <v>945</v>
      </c>
      <c r="D62" s="1399"/>
      <c r="E62" s="1399"/>
      <c r="F62" s="1399"/>
      <c r="G62" s="1399"/>
      <c r="H62" s="835"/>
      <c r="I62" s="839">
        <f>I60-I61</f>
        <v>0</v>
      </c>
      <c r="J62" s="839">
        <f t="shared" ref="J62:P62" si="4">J60-J61</f>
        <v>0</v>
      </c>
      <c r="K62" s="839">
        <f t="shared" si="4"/>
        <v>0</v>
      </c>
      <c r="L62" s="839">
        <f t="shared" si="4"/>
        <v>0</v>
      </c>
      <c r="M62" s="839">
        <f t="shared" si="4"/>
        <v>0</v>
      </c>
      <c r="N62" s="840">
        <f t="shared" si="4"/>
        <v>0</v>
      </c>
      <c r="O62" s="839">
        <f t="shared" si="4"/>
        <v>0</v>
      </c>
      <c r="P62" s="839">
        <f t="shared" si="4"/>
        <v>0</v>
      </c>
      <c r="Q62" s="72"/>
      <c r="R62" s="1176"/>
      <c r="S62" s="782"/>
      <c r="T62" s="783"/>
      <c r="U62" s="783"/>
      <c r="V62" s="783"/>
      <c r="W62" s="783"/>
      <c r="X62" s="783"/>
      <c r="Y62" s="783"/>
      <c r="Z62" s="783"/>
      <c r="AA62" s="783"/>
      <c r="AB62" s="783"/>
      <c r="AC62" s="783"/>
      <c r="AD62" s="783"/>
      <c r="AE62" s="783"/>
      <c r="AF62" s="784"/>
    </row>
    <row r="63" spans="2:32" ht="23.1" customHeight="1">
      <c r="B63" s="80"/>
      <c r="C63" s="1396" t="s">
        <v>946</v>
      </c>
      <c r="D63" s="1397"/>
      <c r="E63" s="1397"/>
      <c r="F63" s="1397"/>
      <c r="G63" s="1397"/>
      <c r="H63" s="836"/>
      <c r="I63" s="837">
        <f>SUMIF($C$34:$C$58,"Capital",$I$34:$I$58)</f>
        <v>0</v>
      </c>
      <c r="J63" s="837">
        <f>SUMIF($C$34:$C$58,"Capital",$J$34:$J$58)</f>
        <v>0</v>
      </c>
      <c r="K63" s="837">
        <f>SUMIF($C$34:$C$58,"Capital",$K$34:$K$58)</f>
        <v>0</v>
      </c>
      <c r="L63" s="837">
        <f>SUMIF($C$34:$C$58,"Capital",$L$34:$L$58)</f>
        <v>0</v>
      </c>
      <c r="M63" s="837">
        <f>SUMIF($C$34:$C$58,"Capital",$M$34:$M$58)</f>
        <v>0</v>
      </c>
      <c r="N63" s="838">
        <f>SUMIF($C$34:$C$58,"Capital",$N$34:$N$58)</f>
        <v>0</v>
      </c>
      <c r="O63" s="837">
        <f>SUMIF($C$34:$C$58,"Capital",$O$34:$O$58)</f>
        <v>0</v>
      </c>
      <c r="P63" s="837">
        <f>SUMIF($C$34:$C$58,"Capital",$P$34:$P$58)</f>
        <v>0</v>
      </c>
      <c r="Q63" s="72"/>
      <c r="R63" s="1208">
        <f>SUM(I63:P63)</f>
        <v>0</v>
      </c>
      <c r="S63" s="782"/>
      <c r="T63" s="783"/>
      <c r="U63" s="783"/>
      <c r="V63" s="783"/>
      <c r="W63" s="783"/>
      <c r="X63" s="783"/>
      <c r="Y63" s="783"/>
      <c r="Z63" s="783"/>
      <c r="AA63" s="783"/>
      <c r="AB63" s="783"/>
      <c r="AC63" s="783"/>
      <c r="AD63" s="783"/>
      <c r="AE63" s="783"/>
      <c r="AF63" s="784"/>
    </row>
    <row r="64" spans="2:32" ht="23.1" customHeight="1">
      <c r="B64" s="80"/>
      <c r="C64" s="1394">
        <f>ejercicio</f>
        <v>2025</v>
      </c>
      <c r="D64" s="1395"/>
      <c r="E64" s="1395"/>
      <c r="F64" s="1395"/>
      <c r="G64" s="1395"/>
      <c r="H64" s="834"/>
      <c r="I64" s="733">
        <f t="shared" ref="I64:P64" si="5">SUMIFS(I34:I58,$C$34:$C$58,"Capital",$E$34:$E$58,ejercicio)</f>
        <v>0</v>
      </c>
      <c r="J64" s="733">
        <f t="shared" si="5"/>
        <v>0</v>
      </c>
      <c r="K64" s="733">
        <f t="shared" si="5"/>
        <v>0</v>
      </c>
      <c r="L64" s="733">
        <f t="shared" si="5"/>
        <v>0</v>
      </c>
      <c r="M64" s="733">
        <f t="shared" si="5"/>
        <v>0</v>
      </c>
      <c r="N64" s="734">
        <f t="shared" si="5"/>
        <v>0</v>
      </c>
      <c r="O64" s="733">
        <f t="shared" si="5"/>
        <v>0</v>
      </c>
      <c r="P64" s="733">
        <f t="shared" si="5"/>
        <v>0</v>
      </c>
      <c r="Q64" s="72"/>
      <c r="R64" s="1207"/>
      <c r="S64" s="782"/>
      <c r="T64" s="783"/>
      <c r="U64" s="783"/>
      <c r="V64" s="783"/>
      <c r="W64" s="783"/>
      <c r="X64" s="783"/>
      <c r="Y64" s="783"/>
      <c r="Z64" s="783"/>
      <c r="AA64" s="783"/>
      <c r="AB64" s="783"/>
      <c r="AC64" s="783"/>
      <c r="AD64" s="783"/>
      <c r="AE64" s="783"/>
      <c r="AF64" s="784"/>
    </row>
    <row r="65" spans="2:32" ht="23.1" customHeight="1" thickBot="1">
      <c r="B65" s="80"/>
      <c r="C65" s="1400" t="s">
        <v>945</v>
      </c>
      <c r="D65" s="1401"/>
      <c r="E65" s="1401"/>
      <c r="F65" s="1401"/>
      <c r="G65" s="1401"/>
      <c r="H65" s="841"/>
      <c r="I65" s="842">
        <f>I63-I64</f>
        <v>0</v>
      </c>
      <c r="J65" s="842">
        <f t="shared" ref="J65:P65" si="6">J63-J64</f>
        <v>0</v>
      </c>
      <c r="K65" s="842">
        <f t="shared" si="6"/>
        <v>0</v>
      </c>
      <c r="L65" s="842">
        <f t="shared" si="6"/>
        <v>0</v>
      </c>
      <c r="M65" s="842">
        <f t="shared" si="6"/>
        <v>0</v>
      </c>
      <c r="N65" s="843">
        <f t="shared" si="6"/>
        <v>0</v>
      </c>
      <c r="O65" s="842">
        <f t="shared" si="6"/>
        <v>0</v>
      </c>
      <c r="P65" s="842">
        <f t="shared" si="6"/>
        <v>0</v>
      </c>
      <c r="Q65" s="72"/>
      <c r="R65" s="1207"/>
      <c r="S65" s="782"/>
      <c r="T65" s="783"/>
      <c r="U65" s="783"/>
      <c r="V65" s="783"/>
      <c r="W65" s="783"/>
      <c r="X65" s="783"/>
      <c r="Y65" s="783"/>
      <c r="Z65" s="783"/>
      <c r="AA65" s="783"/>
      <c r="AB65" s="783"/>
      <c r="AC65" s="783"/>
      <c r="AD65" s="783"/>
      <c r="AE65" s="783"/>
      <c r="AF65" s="784"/>
    </row>
    <row r="66" spans="2:32" ht="23.1" customHeight="1" thickBot="1">
      <c r="B66" s="80"/>
      <c r="C66" s="1402" t="s">
        <v>947</v>
      </c>
      <c r="D66" s="1403"/>
      <c r="E66" s="1403"/>
      <c r="F66" s="1403"/>
      <c r="G66" s="1403"/>
      <c r="H66" s="123"/>
      <c r="I66" s="156">
        <f>I59+I29</f>
        <v>0</v>
      </c>
      <c r="J66" s="156">
        <f t="shared" ref="J66:P66" si="7">J59+J29</f>
        <v>0</v>
      </c>
      <c r="K66" s="156">
        <f t="shared" si="7"/>
        <v>0</v>
      </c>
      <c r="L66" s="156">
        <f t="shared" si="7"/>
        <v>0</v>
      </c>
      <c r="M66" s="156">
        <f t="shared" si="7"/>
        <v>0</v>
      </c>
      <c r="N66" s="1163">
        <f t="shared" si="7"/>
        <v>0</v>
      </c>
      <c r="O66" s="156">
        <f t="shared" si="7"/>
        <v>0</v>
      </c>
      <c r="P66" s="156">
        <f t="shared" si="7"/>
        <v>0</v>
      </c>
      <c r="Q66" s="72"/>
      <c r="S66" s="782"/>
      <c r="T66" s="783"/>
      <c r="U66" s="783"/>
      <c r="V66" s="783"/>
      <c r="W66" s="783"/>
      <c r="X66" s="783"/>
      <c r="Y66" s="783"/>
      <c r="Z66" s="783"/>
      <c r="AA66" s="783"/>
      <c r="AB66" s="783"/>
      <c r="AC66" s="783"/>
      <c r="AD66" s="783"/>
      <c r="AE66" s="783"/>
      <c r="AF66" s="784"/>
    </row>
    <row r="67" spans="2:32" ht="23.1" customHeight="1">
      <c r="B67" s="80"/>
      <c r="C67" s="597"/>
      <c r="D67" s="597"/>
      <c r="E67" s="150"/>
      <c r="F67" s="150"/>
      <c r="G67" s="150"/>
      <c r="H67" s="354"/>
      <c r="I67" s="150"/>
      <c r="J67" s="150"/>
      <c r="K67" s="150"/>
      <c r="L67" s="150"/>
      <c r="M67" s="150"/>
      <c r="N67" s="150"/>
      <c r="O67" s="150"/>
      <c r="P67" s="150"/>
      <c r="Q67" s="72"/>
      <c r="S67" s="782"/>
      <c r="T67" s="783"/>
      <c r="U67" s="783"/>
      <c r="V67" s="783"/>
      <c r="W67" s="783"/>
      <c r="X67" s="783"/>
      <c r="Y67" s="783"/>
      <c r="Z67" s="783"/>
      <c r="AA67" s="783"/>
      <c r="AB67" s="783"/>
      <c r="AC67" s="783"/>
      <c r="AD67" s="783"/>
      <c r="AE67" s="783"/>
      <c r="AF67" s="784"/>
    </row>
    <row r="68" spans="2:32" s="157" customFormat="1" ht="18" customHeight="1">
      <c r="B68" s="425"/>
      <c r="C68" s="348" t="s">
        <v>317</v>
      </c>
      <c r="E68" s="426"/>
      <c r="F68" s="426"/>
      <c r="G68" s="426"/>
      <c r="H68" s="426"/>
      <c r="I68" s="426"/>
      <c r="J68" s="426"/>
      <c r="K68" s="426"/>
      <c r="L68" s="74"/>
      <c r="M68" s="74"/>
      <c r="N68" s="74"/>
      <c r="O68" s="74"/>
      <c r="P68" s="74"/>
      <c r="Q68" s="160"/>
      <c r="S68" s="788"/>
      <c r="T68" s="789"/>
      <c r="U68" s="789"/>
      <c r="V68" s="789"/>
      <c r="W68" s="789"/>
      <c r="X68" s="789"/>
      <c r="Y68" s="789"/>
      <c r="Z68" s="789"/>
      <c r="AA68" s="789"/>
      <c r="AB68" s="789"/>
      <c r="AC68" s="789"/>
      <c r="AD68" s="789"/>
      <c r="AE68" s="789"/>
      <c r="AF68" s="790"/>
    </row>
    <row r="69" spans="2:32" s="157" customFormat="1" ht="18" customHeight="1">
      <c r="B69" s="425"/>
      <c r="C69" s="157" t="s">
        <v>948</v>
      </c>
      <c r="E69" s="426"/>
      <c r="F69" s="426"/>
      <c r="G69" s="426"/>
      <c r="H69" s="426"/>
      <c r="I69" s="426"/>
      <c r="J69" s="426"/>
      <c r="K69" s="426"/>
      <c r="L69" s="74"/>
      <c r="M69" s="74"/>
      <c r="N69" s="74"/>
      <c r="O69" s="74"/>
      <c r="P69" s="74"/>
      <c r="Q69" s="160"/>
      <c r="S69" s="788"/>
      <c r="T69" s="789"/>
      <c r="U69" s="789"/>
      <c r="V69" s="789"/>
      <c r="W69" s="789"/>
      <c r="X69" s="789"/>
      <c r="Y69" s="789"/>
      <c r="Z69" s="789"/>
      <c r="AA69" s="789"/>
      <c r="AB69" s="789"/>
      <c r="AC69" s="789"/>
      <c r="AD69" s="789"/>
      <c r="AE69" s="789"/>
      <c r="AF69" s="790"/>
    </row>
    <row r="70" spans="2:32" s="157" customFormat="1" ht="18" customHeight="1">
      <c r="B70" s="425"/>
      <c r="C70" s="157" t="s">
        <v>949</v>
      </c>
      <c r="E70" s="426"/>
      <c r="F70" s="426"/>
      <c r="G70" s="426"/>
      <c r="H70" s="426"/>
      <c r="I70" s="426"/>
      <c r="J70" s="426"/>
      <c r="K70" s="426"/>
      <c r="L70" s="74"/>
      <c r="M70" s="74"/>
      <c r="N70" s="74"/>
      <c r="O70" s="74"/>
      <c r="P70" s="74"/>
      <c r="Q70" s="160"/>
      <c r="S70" s="788"/>
      <c r="T70" s="789"/>
      <c r="U70" s="789"/>
      <c r="V70" s="789"/>
      <c r="W70" s="789"/>
      <c r="X70" s="789"/>
      <c r="Y70" s="789"/>
      <c r="Z70" s="789"/>
      <c r="AA70" s="789"/>
      <c r="AB70" s="789"/>
      <c r="AC70" s="789"/>
      <c r="AD70" s="789"/>
      <c r="AE70" s="789"/>
      <c r="AF70" s="790"/>
    </row>
    <row r="71" spans="2:32" s="157" customFormat="1" ht="18" customHeight="1">
      <c r="B71" s="425"/>
      <c r="C71" s="427" t="s">
        <v>950</v>
      </c>
      <c r="E71" s="426"/>
      <c r="F71" s="426"/>
      <c r="G71" s="426"/>
      <c r="H71" s="426"/>
      <c r="I71" s="426"/>
      <c r="J71" s="426"/>
      <c r="K71" s="426"/>
      <c r="L71" s="74"/>
      <c r="M71" s="74"/>
      <c r="N71" s="74"/>
      <c r="O71" s="74"/>
      <c r="P71" s="74"/>
      <c r="Q71" s="160"/>
      <c r="S71" s="788"/>
      <c r="T71" s="789"/>
      <c r="U71" s="789"/>
      <c r="V71" s="789"/>
      <c r="W71" s="789"/>
      <c r="X71" s="789"/>
      <c r="Y71" s="789"/>
      <c r="Z71" s="789"/>
      <c r="AA71" s="789"/>
      <c r="AB71" s="789"/>
      <c r="AC71" s="789"/>
      <c r="AD71" s="789"/>
      <c r="AE71" s="789"/>
      <c r="AF71" s="790"/>
    </row>
    <row r="72" spans="2:32" s="157" customFormat="1" ht="18" customHeight="1">
      <c r="B72" s="425"/>
      <c r="C72" s="427" t="s">
        <v>951</v>
      </c>
      <c r="E72" s="426"/>
      <c r="F72" s="426"/>
      <c r="G72" s="426"/>
      <c r="H72" s="426"/>
      <c r="I72" s="426"/>
      <c r="J72" s="426"/>
      <c r="K72" s="426"/>
      <c r="L72" s="74"/>
      <c r="M72" s="74"/>
      <c r="N72" s="74"/>
      <c r="O72" s="74"/>
      <c r="P72" s="74"/>
      <c r="Q72" s="160"/>
      <c r="S72" s="788"/>
      <c r="T72" s="789"/>
      <c r="U72" s="789"/>
      <c r="V72" s="789"/>
      <c r="W72" s="789"/>
      <c r="X72" s="789"/>
      <c r="Y72" s="789"/>
      <c r="Z72" s="789"/>
      <c r="AA72" s="789"/>
      <c r="AB72" s="789"/>
      <c r="AC72" s="789"/>
      <c r="AD72" s="789"/>
      <c r="AE72" s="789"/>
      <c r="AF72" s="790"/>
    </row>
    <row r="73" spans="2:32" s="157" customFormat="1" ht="18" customHeight="1">
      <c r="B73" s="425"/>
      <c r="C73" s="157" t="s">
        <v>952</v>
      </c>
      <c r="E73" s="426"/>
      <c r="F73" s="426"/>
      <c r="G73" s="426"/>
      <c r="H73" s="426"/>
      <c r="I73" s="426"/>
      <c r="J73" s="426"/>
      <c r="K73" s="426"/>
      <c r="L73" s="74"/>
      <c r="M73" s="74"/>
      <c r="N73" s="74"/>
      <c r="O73" s="74"/>
      <c r="P73" s="74"/>
      <c r="Q73" s="160"/>
      <c r="S73" s="788"/>
      <c r="T73" s="789"/>
      <c r="U73" s="789"/>
      <c r="V73" s="789"/>
      <c r="W73" s="789"/>
      <c r="X73" s="789"/>
      <c r="Y73" s="789"/>
      <c r="Z73" s="789"/>
      <c r="AA73" s="789"/>
      <c r="AB73" s="789"/>
      <c r="AC73" s="789"/>
      <c r="AD73" s="789"/>
      <c r="AE73" s="789"/>
      <c r="AF73" s="790"/>
    </row>
    <row r="74" spans="2:32" s="157" customFormat="1" ht="18" customHeight="1">
      <c r="B74" s="425"/>
      <c r="C74" s="427" t="s">
        <v>953</v>
      </c>
      <c r="E74" s="428"/>
      <c r="F74" s="428"/>
      <c r="G74" s="428"/>
      <c r="H74" s="428"/>
      <c r="I74" s="428"/>
      <c r="J74" s="428"/>
      <c r="K74" s="428"/>
      <c r="L74" s="74"/>
      <c r="M74" s="74"/>
      <c r="N74" s="74"/>
      <c r="O74" s="74"/>
      <c r="P74" s="74"/>
      <c r="Q74" s="160"/>
      <c r="S74" s="788"/>
      <c r="T74" s="789"/>
      <c r="U74" s="789"/>
      <c r="V74" s="789"/>
      <c r="W74" s="789"/>
      <c r="X74" s="789"/>
      <c r="Y74" s="789"/>
      <c r="Z74" s="789"/>
      <c r="AA74" s="789"/>
      <c r="AB74" s="789"/>
      <c r="AC74" s="789"/>
      <c r="AD74" s="789"/>
      <c r="AE74" s="789"/>
      <c r="AF74" s="790"/>
    </row>
    <row r="75" spans="2:32" s="157" customFormat="1" ht="18" customHeight="1">
      <c r="B75" s="425"/>
      <c r="C75" s="427" t="s">
        <v>954</v>
      </c>
      <c r="E75" s="428"/>
      <c r="F75" s="428"/>
      <c r="G75" s="428"/>
      <c r="H75" s="428"/>
      <c r="I75" s="428"/>
      <c r="J75" s="428"/>
      <c r="K75" s="428"/>
      <c r="L75" s="74"/>
      <c r="M75" s="74"/>
      <c r="N75" s="74"/>
      <c r="O75" s="74"/>
      <c r="P75" s="74"/>
      <c r="Q75" s="160"/>
      <c r="S75" s="788"/>
      <c r="T75" s="789"/>
      <c r="U75" s="789"/>
      <c r="V75" s="789"/>
      <c r="W75" s="789"/>
      <c r="X75" s="789"/>
      <c r="Y75" s="789"/>
      <c r="Z75" s="789"/>
      <c r="AA75" s="789"/>
      <c r="AB75" s="789"/>
      <c r="AC75" s="789"/>
      <c r="AD75" s="789"/>
      <c r="AE75" s="789"/>
      <c r="AF75" s="790"/>
    </row>
    <row r="76" spans="2:32" s="157" customFormat="1" ht="18" customHeight="1">
      <c r="B76" s="425"/>
      <c r="C76" s="427" t="s">
        <v>955</v>
      </c>
      <c r="E76" s="428"/>
      <c r="F76" s="428"/>
      <c r="G76" s="428"/>
      <c r="H76" s="428"/>
      <c r="I76" s="428"/>
      <c r="J76" s="428"/>
      <c r="K76" s="428"/>
      <c r="L76" s="74"/>
      <c r="M76" s="74"/>
      <c r="N76" s="74"/>
      <c r="O76" s="74"/>
      <c r="P76" s="74"/>
      <c r="Q76" s="160"/>
      <c r="S76" s="788"/>
      <c r="T76" s="789"/>
      <c r="U76" s="789"/>
      <c r="V76" s="789"/>
      <c r="W76" s="789"/>
      <c r="X76" s="789"/>
      <c r="Y76" s="789"/>
      <c r="Z76" s="789"/>
      <c r="AA76" s="789"/>
      <c r="AB76" s="789"/>
      <c r="AC76" s="789"/>
      <c r="AD76" s="789"/>
      <c r="AE76" s="789"/>
      <c r="AF76" s="790"/>
    </row>
    <row r="77" spans="2:32" s="157" customFormat="1" ht="18" customHeight="1">
      <c r="B77" s="425"/>
      <c r="C77" s="427" t="s">
        <v>956</v>
      </c>
      <c r="E77" s="428"/>
      <c r="F77" s="428"/>
      <c r="G77" s="428"/>
      <c r="H77" s="428"/>
      <c r="I77" s="428"/>
      <c r="J77" s="428"/>
      <c r="K77" s="428"/>
      <c r="L77" s="74"/>
      <c r="M77" s="74"/>
      <c r="N77" s="74"/>
      <c r="O77" s="74"/>
      <c r="P77" s="74"/>
      <c r="Q77" s="160"/>
      <c r="S77" s="788"/>
      <c r="T77" s="789"/>
      <c r="U77" s="789"/>
      <c r="V77" s="789"/>
      <c r="W77" s="789"/>
      <c r="X77" s="789"/>
      <c r="Y77" s="789"/>
      <c r="Z77" s="789"/>
      <c r="AA77" s="789"/>
      <c r="AB77" s="789"/>
      <c r="AC77" s="789"/>
      <c r="AD77" s="789"/>
      <c r="AE77" s="789"/>
      <c r="AF77" s="790"/>
    </row>
    <row r="78" spans="2:32" s="157" customFormat="1" ht="18" customHeight="1">
      <c r="B78" s="425"/>
      <c r="C78" s="427" t="s">
        <v>957</v>
      </c>
      <c r="E78" s="428"/>
      <c r="F78" s="428"/>
      <c r="G78" s="428"/>
      <c r="H78" s="428"/>
      <c r="I78" s="428"/>
      <c r="J78" s="428"/>
      <c r="K78" s="428"/>
      <c r="L78" s="74"/>
      <c r="M78" s="74"/>
      <c r="N78" s="74"/>
      <c r="O78" s="74"/>
      <c r="P78" s="74"/>
      <c r="Q78" s="160"/>
      <c r="S78" s="788"/>
      <c r="T78" s="789"/>
      <c r="U78" s="789"/>
      <c r="V78" s="789"/>
      <c r="W78" s="789"/>
      <c r="X78" s="789"/>
      <c r="Y78" s="789"/>
      <c r="Z78" s="789"/>
      <c r="AA78" s="789"/>
      <c r="AB78" s="789"/>
      <c r="AC78" s="789"/>
      <c r="AD78" s="789"/>
      <c r="AE78" s="789"/>
      <c r="AF78" s="790"/>
    </row>
    <row r="79" spans="2:32" s="157" customFormat="1" ht="18" customHeight="1">
      <c r="B79" s="425"/>
      <c r="C79" s="427" t="str">
        <f>"(11) Subtotal de subvenciones reintegrables en las que la Entidad Otorgante reconoce la obligación en el ejercicio "&amp;ejercicio&amp;" y ejercicios anteriores."</f>
        <v>(11) Subtotal de subvenciones reintegrables en las que la Entidad Otorgante reconoce la obligación en el ejercicio 2025 y ejercicios anteriores.</v>
      </c>
      <c r="E79" s="428"/>
      <c r="F79" s="428"/>
      <c r="H79" s="1157"/>
      <c r="I79" s="428"/>
      <c r="J79" s="428"/>
      <c r="K79" s="428"/>
      <c r="L79" s="74"/>
      <c r="M79" s="74"/>
      <c r="N79" s="74"/>
      <c r="O79" s="74"/>
      <c r="P79" s="74"/>
      <c r="Q79" s="160"/>
      <c r="S79" s="788"/>
      <c r="T79" s="789"/>
      <c r="U79" s="789"/>
      <c r="V79" s="789"/>
      <c r="W79" s="789"/>
      <c r="X79" s="789"/>
      <c r="Y79" s="789"/>
      <c r="Z79" s="789"/>
      <c r="AA79" s="789"/>
      <c r="AB79" s="789"/>
      <c r="AC79" s="789"/>
      <c r="AD79" s="789"/>
      <c r="AE79" s="789"/>
      <c r="AF79" s="790"/>
    </row>
    <row r="80" spans="2:32" s="157" customFormat="1" ht="18" customHeight="1">
      <c r="B80" s="425"/>
      <c r="C80" s="427"/>
      <c r="E80" s="428"/>
      <c r="F80" s="428"/>
      <c r="H80" s="1157"/>
      <c r="I80" s="428"/>
      <c r="J80" s="428"/>
      <c r="K80" s="428"/>
      <c r="L80" s="74"/>
      <c r="M80" s="74"/>
      <c r="N80" s="74"/>
      <c r="O80" s="74"/>
      <c r="P80" s="74"/>
      <c r="Q80" s="160"/>
      <c r="S80" s="788"/>
      <c r="T80" s="789"/>
      <c r="U80" s="789"/>
      <c r="V80" s="789"/>
      <c r="W80" s="789"/>
      <c r="X80" s="789"/>
      <c r="Y80" s="789"/>
      <c r="Z80" s="789"/>
      <c r="AA80" s="789"/>
      <c r="AB80" s="789"/>
      <c r="AC80" s="789"/>
      <c r="AD80" s="789"/>
      <c r="AE80" s="789"/>
      <c r="AF80" s="790"/>
    </row>
    <row r="81" spans="2:32" ht="23.1" customHeight="1" thickBot="1">
      <c r="B81" s="83"/>
      <c r="C81" s="1228"/>
      <c r="D81" s="1228"/>
      <c r="E81" s="33"/>
      <c r="F81" s="33"/>
      <c r="G81" s="33"/>
      <c r="H81" s="33"/>
      <c r="I81" s="33"/>
      <c r="J81" s="33"/>
      <c r="K81" s="33"/>
      <c r="L81" s="33"/>
      <c r="M81" s="33"/>
      <c r="N81" s="33"/>
      <c r="O81" s="33"/>
      <c r="P81" s="33"/>
      <c r="Q81" s="85"/>
      <c r="S81" s="791"/>
      <c r="T81" s="792"/>
      <c r="U81" s="792"/>
      <c r="V81" s="792"/>
      <c r="W81" s="792"/>
      <c r="X81" s="792"/>
      <c r="Y81" s="792"/>
      <c r="Z81" s="792"/>
      <c r="AA81" s="792"/>
      <c r="AB81" s="792"/>
      <c r="AC81" s="792"/>
      <c r="AD81" s="792"/>
      <c r="AE81" s="792"/>
      <c r="AF81" s="793"/>
    </row>
    <row r="82" spans="2:32" ht="23.1" customHeight="1">
      <c r="R82" s="65" t="s">
        <v>248</v>
      </c>
    </row>
    <row r="83" spans="2:32" ht="12.75">
      <c r="C83" s="86" t="s">
        <v>98</v>
      </c>
      <c r="P83" s="63" t="s">
        <v>958</v>
      </c>
    </row>
    <row r="84" spans="2:32" ht="12.75">
      <c r="C84" s="86" t="s">
        <v>100</v>
      </c>
    </row>
    <row r="85" spans="2:32" ht="12.75">
      <c r="C85" s="86" t="s">
        <v>101</v>
      </c>
    </row>
    <row r="86" spans="2:32" ht="12.75">
      <c r="C86" s="86" t="s">
        <v>102</v>
      </c>
    </row>
    <row r="87" spans="2:32" ht="12.75">
      <c r="C87" s="86" t="s">
        <v>103</v>
      </c>
    </row>
  </sheetData>
  <sheetProtection sheet="1" insertRows="0"/>
  <mergeCells count="54">
    <mergeCell ref="G49:H49"/>
    <mergeCell ref="G50:H50"/>
    <mergeCell ref="G56:H56"/>
    <mergeCell ref="G57:H57"/>
    <mergeCell ref="G58:H58"/>
    <mergeCell ref="G51:H51"/>
    <mergeCell ref="G52:H52"/>
    <mergeCell ref="G53:H53"/>
    <mergeCell ref="G54:H54"/>
    <mergeCell ref="G55:H55"/>
    <mergeCell ref="G43:H43"/>
    <mergeCell ref="G44:H44"/>
    <mergeCell ref="G45:H45"/>
    <mergeCell ref="G46:H46"/>
    <mergeCell ref="G47:H47"/>
    <mergeCell ref="G48:H48"/>
    <mergeCell ref="G37:H37"/>
    <mergeCell ref="G38:H38"/>
    <mergeCell ref="G39:H39"/>
    <mergeCell ref="G40:H40"/>
    <mergeCell ref="G41:H41"/>
    <mergeCell ref="G42:H42"/>
    <mergeCell ref="G28:H28"/>
    <mergeCell ref="G32:H32"/>
    <mergeCell ref="G33:H33"/>
    <mergeCell ref="G34:H34"/>
    <mergeCell ref="G35:H35"/>
    <mergeCell ref="G36:H36"/>
    <mergeCell ref="G22:H22"/>
    <mergeCell ref="G23:H23"/>
    <mergeCell ref="G24:H24"/>
    <mergeCell ref="G25:H25"/>
    <mergeCell ref="G26:H26"/>
    <mergeCell ref="G27:H27"/>
    <mergeCell ref="C65:G65"/>
    <mergeCell ref="C59:G59"/>
    <mergeCell ref="O17:P17"/>
    <mergeCell ref="C29:G29"/>
    <mergeCell ref="C66:G66"/>
    <mergeCell ref="G17:H17"/>
    <mergeCell ref="G18:H18"/>
    <mergeCell ref="G19:H19"/>
    <mergeCell ref="G20:H20"/>
    <mergeCell ref="G21:H21"/>
    <mergeCell ref="C81:D81"/>
    <mergeCell ref="O32:P32"/>
    <mergeCell ref="P6:P7"/>
    <mergeCell ref="D9:P9"/>
    <mergeCell ref="C12:D12"/>
    <mergeCell ref="C61:G61"/>
    <mergeCell ref="C60:G60"/>
    <mergeCell ref="C62:G62"/>
    <mergeCell ref="C63:G63"/>
    <mergeCell ref="C64:G64"/>
  </mergeCells>
  <dataValidations count="6">
    <dataValidation type="list" allowBlank="1" showInputMessage="1" showErrorMessage="1" sqref="C34:C58 C19:C28" xr:uid="{9DC0D94A-F211-4242-A62E-82FEC6833D66}">
      <formula1>$AI$34:$AI$35</formula1>
    </dataValidation>
    <dataValidation type="decimal" operator="lessThanOrEqual" allowBlank="1" showInputMessage="1" showErrorMessage="1" errorTitle="Error en signo" error="Las cifras de esta columna deben introducirse con signo negativo" sqref="L34:M58 L19:M28" xr:uid="{C8CD8F19-698F-4B9E-8D49-C1A266B2F8CA}">
      <formula1>0</formula1>
    </dataValidation>
    <dataValidation type="decimal" operator="greaterThanOrEqual" allowBlank="1" showInputMessage="1" showErrorMessage="1" errorTitle="Error en signo" error="Las cifras de esta columna deben introducirse con signo positivo" sqref="J19:J28" xr:uid="{E730A6D0-6C57-4495-BDAB-6EC79DD7AE43}">
      <formula1>0</formula1>
    </dataValidation>
    <dataValidation type="custom" operator="greaterThanOrEqual" showInputMessage="1" showErrorMessage="1" errorTitle="Incoherencia con año concesión" error="No se pueden introducir datos en esta celda si el año de concesión es diferente al ejercicio presupuestado_x000a_" sqref="K34:K58 K19:K28" xr:uid="{35156992-A0E3-4C09-897D-6DE35E9CB074}">
      <formula1>E19=$K$33</formula1>
    </dataValidation>
    <dataValidation type="custom" operator="greaterThanOrEqual" allowBlank="1" showInputMessage="1" showErrorMessage="1" errorTitle="Error entrada de datos" error="Si la aportación se concede en 2025, no puede haber datos de apertura_x000a_" sqref="J35:J58" xr:uid="{A1AD4F49-8016-413A-9DE5-C503F49CCE19}">
      <formula1>E35&lt;ejercicio</formula1>
    </dataValidation>
    <dataValidation type="custom" operator="greaterThanOrEqual" showInputMessage="1" showErrorMessage="1" errorTitle="Error entrada de datos" error="Si la aportación se concede en 2025, no puede haber datos de apertura_x000a_" sqref="J34" xr:uid="{B0479166-4CAA-4E36-8E36-95B13C205BD4}">
      <formula1>E34&lt;ejercicio</formula1>
    </dataValidation>
  </dataValidations>
  <printOptions horizontalCentered="1" verticalCentered="1"/>
  <pageMargins left="0.36000000000000004" right="0.36000000000000004" top="0.6100000000000001" bottom="0.6100000000000001" header="0.5" footer="0.5"/>
  <pageSetup paperSize="9" scale="34" orientation="portrait" horizontalDpi="4294967292" verticalDpi="4294967292" r:id="rId1"/>
  <drawing r:id="rId2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E00F074-AF97-4C9F-820A-D3948C4FCBF9}">
  <sheetPr codeName="Hoja15">
    <pageSetUpPr fitToPage="1"/>
  </sheetPr>
  <dimension ref="A2:AI115"/>
  <sheetViews>
    <sheetView topLeftCell="A16" zoomScale="95" zoomScaleNormal="95" zoomScalePageLayoutView="125" workbookViewId="0">
      <selection activeCell="M37" sqref="M37"/>
    </sheetView>
  </sheetViews>
  <sheetFormatPr baseColWidth="10" defaultColWidth="10.6640625" defaultRowHeight="23.1" customHeight="1"/>
  <cols>
    <col min="1" max="1" width="4.109375" style="65" bestFit="1" customWidth="1"/>
    <col min="2" max="2" width="3.109375" style="65" customWidth="1"/>
    <col min="3" max="3" width="13.5546875" style="65" customWidth="1"/>
    <col min="4" max="4" width="26.5546875" style="65" customWidth="1"/>
    <col min="5" max="6" width="13.44140625" style="66" customWidth="1"/>
    <col min="7" max="7" width="20" style="66" customWidth="1"/>
    <col min="8" max="8" width="13.44140625" style="66" customWidth="1"/>
    <col min="9" max="9" width="11.109375" style="66" customWidth="1"/>
    <col min="10" max="10" width="16" style="66" customWidth="1"/>
    <col min="11" max="12" width="15.88671875" style="66" customWidth="1"/>
    <col min="13" max="13" width="16.5546875" style="66" customWidth="1"/>
    <col min="14" max="14" width="17" style="66" customWidth="1"/>
    <col min="15" max="19" width="15.88671875" style="66" customWidth="1"/>
    <col min="20" max="20" width="3.33203125" style="65" customWidth="1"/>
    <col min="21" max="21" width="10.6640625" style="65"/>
    <col min="22" max="22" width="11.109375" style="65" bestFit="1" customWidth="1"/>
    <col min="23" max="16384" width="10.6640625" style="65"/>
  </cols>
  <sheetData>
    <row r="2" spans="1:35" ht="23.1" customHeight="1">
      <c r="D2" s="391" t="str">
        <f>_GENERAL!D2</f>
        <v>Área de la Presidenta: Igualdad y Diversidad, Hacienda y Proyectos Estratégicos</v>
      </c>
    </row>
    <row r="3" spans="1:35" ht="23.1" customHeight="1">
      <c r="D3" s="391" t="str">
        <f>_GENERAL!D3</f>
        <v>Dirección Insular de Hacienda</v>
      </c>
    </row>
    <row r="4" spans="1:35" ht="23.1" customHeight="1" thickBot="1">
      <c r="A4" s="65" t="s">
        <v>195</v>
      </c>
    </row>
    <row r="5" spans="1:35" ht="9" customHeight="1">
      <c r="B5" s="67"/>
      <c r="C5" s="68"/>
      <c r="D5" s="68"/>
      <c r="E5" s="69"/>
      <c r="F5" s="69"/>
      <c r="G5" s="69"/>
      <c r="H5" s="69"/>
      <c r="I5" s="69"/>
      <c r="J5" s="69"/>
      <c r="K5" s="69"/>
      <c r="L5" s="69"/>
      <c r="M5" s="69"/>
      <c r="N5" s="69"/>
      <c r="O5" s="69"/>
      <c r="P5" s="69"/>
      <c r="Q5" s="69"/>
      <c r="R5" s="69"/>
      <c r="S5" s="69"/>
      <c r="T5" s="70"/>
      <c r="V5" s="746"/>
      <c r="W5" s="747"/>
      <c r="X5" s="747"/>
      <c r="Y5" s="747"/>
      <c r="Z5" s="747"/>
      <c r="AA5" s="747"/>
      <c r="AB5" s="747"/>
      <c r="AC5" s="747"/>
      <c r="AD5" s="747"/>
      <c r="AE5" s="747"/>
      <c r="AF5" s="747"/>
      <c r="AG5" s="747"/>
      <c r="AH5" s="747"/>
      <c r="AI5" s="744"/>
    </row>
    <row r="6" spans="1:35" ht="30" customHeight="1">
      <c r="B6" s="71"/>
      <c r="C6" s="40" t="s">
        <v>2</v>
      </c>
      <c r="S6" s="1212">
        <f>ejercicio</f>
        <v>2025</v>
      </c>
      <c r="T6" s="72"/>
      <c r="V6" s="751"/>
      <c r="W6" s="752"/>
      <c r="X6" s="752"/>
      <c r="Y6" s="752"/>
      <c r="Z6" s="752"/>
      <c r="AA6" s="752"/>
      <c r="AB6" s="752"/>
      <c r="AC6" s="752"/>
      <c r="AD6" s="752"/>
      <c r="AE6" s="752"/>
      <c r="AF6" s="752"/>
      <c r="AG6" s="752"/>
      <c r="AH6" s="752"/>
      <c r="AI6" s="255"/>
    </row>
    <row r="7" spans="1:35" ht="30" customHeight="1">
      <c r="B7" s="71"/>
      <c r="C7" s="40" t="s">
        <v>3</v>
      </c>
      <c r="S7" s="1212"/>
      <c r="T7" s="72"/>
      <c r="V7" s="754"/>
      <c r="W7" s="755" t="s">
        <v>196</v>
      </c>
      <c r="X7" s="756"/>
      <c r="Y7" s="756"/>
      <c r="Z7" s="756"/>
      <c r="AA7" s="756"/>
      <c r="AB7" s="756"/>
      <c r="AC7" s="756"/>
      <c r="AD7" s="756"/>
      <c r="AE7" s="756"/>
      <c r="AF7" s="756"/>
      <c r="AG7" s="756"/>
      <c r="AH7" s="756"/>
      <c r="AI7" s="255"/>
    </row>
    <row r="8" spans="1:35" ht="30" customHeight="1">
      <c r="B8" s="71"/>
      <c r="C8" s="73"/>
      <c r="T8" s="72"/>
      <c r="V8" s="782"/>
      <c r="W8" s="783"/>
      <c r="X8" s="783"/>
      <c r="Y8" s="783"/>
      <c r="Z8" s="783"/>
      <c r="AA8" s="783"/>
      <c r="AB8" s="783"/>
      <c r="AC8" s="783"/>
      <c r="AD8" s="783"/>
      <c r="AE8" s="783"/>
      <c r="AF8" s="783"/>
      <c r="AG8" s="783"/>
      <c r="AH8" s="783"/>
      <c r="AI8" s="784"/>
    </row>
    <row r="9" spans="1:35" s="128" customFormat="1" ht="30" customHeight="1">
      <c r="A9" s="877"/>
      <c r="B9" s="905"/>
      <c r="C9" s="21" t="s">
        <v>105</v>
      </c>
      <c r="D9" s="1229" t="str">
        <f>Entidad</f>
        <v>(MERCATENERIFE) Mercados Centrales de Abastecimiento de Tenerife, S.A.</v>
      </c>
      <c r="E9" s="1229"/>
      <c r="F9" s="1229"/>
      <c r="G9" s="1229"/>
      <c r="H9" s="1229"/>
      <c r="I9" s="1229"/>
      <c r="J9" s="1229"/>
      <c r="K9" s="1229"/>
      <c r="L9" s="1229"/>
      <c r="M9" s="1229"/>
      <c r="N9" s="1229"/>
      <c r="O9" s="1229"/>
      <c r="P9" s="1229"/>
      <c r="Q9" s="1229"/>
      <c r="R9" s="1229"/>
      <c r="S9" s="1229"/>
      <c r="T9" s="904"/>
      <c r="U9" s="877"/>
      <c r="V9" s="782"/>
      <c r="W9" s="783"/>
      <c r="X9" s="783"/>
      <c r="Y9" s="783"/>
      <c r="Z9" s="783"/>
      <c r="AA9" s="783"/>
      <c r="AB9" s="783"/>
      <c r="AC9" s="783"/>
      <c r="AD9" s="783"/>
      <c r="AE9" s="783"/>
      <c r="AF9" s="783"/>
      <c r="AG9" s="783"/>
      <c r="AH9" s="783"/>
      <c r="AI9" s="784"/>
    </row>
    <row r="10" spans="1:35" ht="6.95" customHeight="1">
      <c r="B10" s="71"/>
      <c r="T10" s="72"/>
      <c r="V10" s="751"/>
      <c r="W10" s="752"/>
      <c r="X10" s="752"/>
      <c r="Y10" s="752"/>
      <c r="Z10" s="752"/>
      <c r="AA10" s="752"/>
      <c r="AB10" s="752"/>
      <c r="AC10" s="752"/>
      <c r="AD10" s="752"/>
      <c r="AE10" s="752"/>
      <c r="AF10" s="752"/>
      <c r="AG10" s="752"/>
      <c r="AH10" s="752"/>
      <c r="AI10" s="255"/>
    </row>
    <row r="11" spans="1:35" s="79" customFormat="1" ht="30" customHeight="1">
      <c r="B11" s="75"/>
      <c r="C11" s="76" t="s">
        <v>915</v>
      </c>
      <c r="D11" s="76"/>
      <c r="E11" s="77"/>
      <c r="F11" s="77"/>
      <c r="G11" s="77"/>
      <c r="H11" s="77"/>
      <c r="I11" s="77"/>
      <c r="J11" s="77"/>
      <c r="K11" s="77"/>
      <c r="L11" s="77"/>
      <c r="M11" s="77"/>
      <c r="N11" s="77"/>
      <c r="O11" s="77"/>
      <c r="P11" s="77"/>
      <c r="Q11" s="77"/>
      <c r="R11" s="77"/>
      <c r="S11" s="77"/>
      <c r="T11" s="78"/>
      <c r="V11" s="782"/>
      <c r="W11" s="783"/>
      <c r="X11" s="783"/>
      <c r="Y11" s="783"/>
      <c r="Z11" s="783"/>
      <c r="AA11" s="783"/>
      <c r="AB11" s="783"/>
      <c r="AC11" s="783"/>
      <c r="AD11" s="783"/>
      <c r="AE11" s="783"/>
      <c r="AF11" s="783"/>
      <c r="AG11" s="783"/>
      <c r="AH11" s="783"/>
      <c r="AI11" s="784"/>
    </row>
    <row r="12" spans="1:35" s="79" customFormat="1" ht="30" customHeight="1">
      <c r="B12" s="75"/>
      <c r="C12" s="1237"/>
      <c r="D12" s="1237"/>
      <c r="E12" s="64"/>
      <c r="F12" s="64"/>
      <c r="G12" s="64"/>
      <c r="H12" s="64"/>
      <c r="I12" s="64"/>
      <c r="J12" s="64"/>
      <c r="K12" s="64"/>
      <c r="L12" s="64"/>
      <c r="M12" s="64"/>
      <c r="N12" s="64"/>
      <c r="O12" s="64"/>
      <c r="P12" s="64"/>
      <c r="Q12" s="64"/>
      <c r="R12" s="64"/>
      <c r="S12" s="64"/>
      <c r="T12" s="78"/>
      <c r="V12" s="782"/>
      <c r="W12" s="783"/>
      <c r="X12" s="783"/>
      <c r="Y12" s="783"/>
      <c r="Z12" s="783"/>
      <c r="AA12" s="783"/>
      <c r="AB12" s="783"/>
      <c r="AC12" s="783"/>
      <c r="AD12" s="783"/>
      <c r="AE12" s="783"/>
      <c r="AF12" s="783"/>
      <c r="AG12" s="783"/>
      <c r="AH12" s="783"/>
      <c r="AI12" s="784"/>
    </row>
    <row r="13" spans="1:35" ht="29.1" customHeight="1">
      <c r="B13" s="80"/>
      <c r="C13" s="38" t="s">
        <v>959</v>
      </c>
      <c r="D13" s="906"/>
      <c r="E13" s="64"/>
      <c r="F13" s="64"/>
      <c r="G13" s="64"/>
      <c r="H13" s="64"/>
      <c r="I13" s="64"/>
      <c r="J13" s="64"/>
      <c r="K13" s="64"/>
      <c r="L13" s="64"/>
      <c r="M13" s="64"/>
      <c r="N13" s="64"/>
      <c r="O13" s="64"/>
      <c r="P13" s="64"/>
      <c r="Q13" s="64"/>
      <c r="R13" s="64"/>
      <c r="S13" s="64"/>
      <c r="T13" s="72"/>
      <c r="V13" s="782"/>
      <c r="W13" s="783"/>
      <c r="X13" s="783"/>
      <c r="Y13" s="783"/>
      <c r="Z13" s="783"/>
      <c r="AA13" s="783"/>
      <c r="AB13" s="783"/>
      <c r="AC13" s="783"/>
      <c r="AD13" s="783"/>
      <c r="AE13" s="783"/>
      <c r="AF13" s="783"/>
      <c r="AG13" s="783"/>
      <c r="AH13" s="783"/>
      <c r="AI13" s="784"/>
    </row>
    <row r="14" spans="1:35" ht="9" customHeight="1">
      <c r="B14" s="80"/>
      <c r="C14" s="906"/>
      <c r="D14" s="906"/>
      <c r="E14" s="64"/>
      <c r="F14" s="64"/>
      <c r="G14" s="64"/>
      <c r="H14" s="64"/>
      <c r="I14" s="64"/>
      <c r="J14" s="64"/>
      <c r="K14" s="64"/>
      <c r="L14" s="64"/>
      <c r="M14" s="64"/>
      <c r="N14" s="64"/>
      <c r="O14" s="64"/>
      <c r="P14" s="64"/>
      <c r="Q14" s="64"/>
      <c r="R14" s="64"/>
      <c r="S14" s="64"/>
      <c r="T14" s="72"/>
      <c r="V14" s="782"/>
      <c r="W14" s="783"/>
      <c r="X14" s="783"/>
      <c r="Y14" s="783"/>
      <c r="Z14" s="783"/>
      <c r="AA14" s="783"/>
      <c r="AB14" s="783"/>
      <c r="AC14" s="783"/>
      <c r="AD14" s="783"/>
      <c r="AE14" s="783"/>
      <c r="AF14" s="783"/>
      <c r="AG14" s="783"/>
      <c r="AH14" s="783"/>
      <c r="AI14" s="784"/>
    </row>
    <row r="15" spans="1:35" ht="23.1" customHeight="1">
      <c r="B15" s="80"/>
      <c r="C15" s="906"/>
      <c r="D15" s="906"/>
      <c r="E15" s="64"/>
      <c r="F15" s="64"/>
      <c r="G15" s="64"/>
      <c r="H15" s="64"/>
      <c r="I15" s="64"/>
      <c r="J15" s="64"/>
      <c r="K15" s="64"/>
      <c r="L15" s="64"/>
      <c r="M15" s="64"/>
      <c r="N15" s="64"/>
      <c r="O15" s="64"/>
      <c r="P15" s="64"/>
      <c r="Q15" s="64"/>
      <c r="R15" s="64"/>
      <c r="S15" s="64"/>
      <c r="T15" s="72"/>
      <c r="V15" s="782"/>
      <c r="W15" s="783"/>
      <c r="X15" s="783"/>
      <c r="Y15" s="783"/>
      <c r="Z15" s="783"/>
      <c r="AA15" s="783"/>
      <c r="AB15" s="783"/>
      <c r="AC15" s="783"/>
      <c r="AD15" s="783"/>
      <c r="AE15" s="783"/>
      <c r="AF15" s="783"/>
      <c r="AG15" s="783"/>
      <c r="AH15" s="783"/>
      <c r="AI15" s="784"/>
    </row>
    <row r="16" spans="1:35" ht="39" customHeight="1">
      <c r="B16" s="80"/>
      <c r="C16" s="134" t="s">
        <v>960</v>
      </c>
      <c r="D16" s="159" t="s">
        <v>961</v>
      </c>
      <c r="E16" s="134" t="s">
        <v>962</v>
      </c>
      <c r="F16" s="134" t="s">
        <v>962</v>
      </c>
      <c r="G16" s="134"/>
      <c r="H16" s="134" t="s">
        <v>963</v>
      </c>
      <c r="I16" s="134" t="s">
        <v>964</v>
      </c>
      <c r="J16" s="134" t="s">
        <v>965</v>
      </c>
      <c r="K16" s="134" t="s">
        <v>966</v>
      </c>
      <c r="L16" s="134" t="s">
        <v>652</v>
      </c>
      <c r="M16" s="419" t="s">
        <v>967</v>
      </c>
      <c r="N16" s="830" t="s">
        <v>968</v>
      </c>
      <c r="O16" s="134" t="s">
        <v>969</v>
      </c>
      <c r="P16" s="420" t="s">
        <v>970</v>
      </c>
      <c r="Q16" s="134" t="s">
        <v>652</v>
      </c>
      <c r="R16" s="1369" t="s">
        <v>971</v>
      </c>
      <c r="S16" s="1370"/>
      <c r="T16" s="72"/>
      <c r="V16" s="782"/>
      <c r="W16" s="783"/>
      <c r="X16" s="783"/>
      <c r="Y16" s="783"/>
      <c r="Z16" s="783"/>
      <c r="AA16" s="783"/>
      <c r="AB16" s="783"/>
      <c r="AC16" s="783"/>
      <c r="AD16" s="783"/>
      <c r="AE16" s="783"/>
      <c r="AF16" s="783"/>
      <c r="AG16" s="783"/>
      <c r="AH16" s="783"/>
      <c r="AI16" s="784"/>
    </row>
    <row r="17" spans="2:35" ht="23.1" customHeight="1">
      <c r="B17" s="80"/>
      <c r="C17" s="163" t="s">
        <v>972</v>
      </c>
      <c r="D17" s="164" t="s">
        <v>972</v>
      </c>
      <c r="E17" s="163" t="s">
        <v>973</v>
      </c>
      <c r="F17" s="163" t="s">
        <v>974</v>
      </c>
      <c r="G17" s="163"/>
      <c r="H17" s="163" t="s">
        <v>975</v>
      </c>
      <c r="I17" s="625" t="s">
        <v>976</v>
      </c>
      <c r="J17" s="163" t="s">
        <v>977</v>
      </c>
      <c r="K17" s="829" t="s">
        <v>978</v>
      </c>
      <c r="L17" s="163">
        <f>ejercicio-1</f>
        <v>2024</v>
      </c>
      <c r="M17" s="163">
        <f>ejercicio</f>
        <v>2025</v>
      </c>
      <c r="N17" s="163">
        <f>ejercicio</f>
        <v>2025</v>
      </c>
      <c r="O17" s="163">
        <f>ejercicio</f>
        <v>2025</v>
      </c>
      <c r="P17" s="163">
        <f>ejercicio</f>
        <v>2025</v>
      </c>
      <c r="Q17" s="163">
        <f>ejercicio</f>
        <v>2025</v>
      </c>
      <c r="R17" s="421" t="s">
        <v>979</v>
      </c>
      <c r="S17" s="422" t="s">
        <v>980</v>
      </c>
      <c r="T17" s="72"/>
      <c r="V17" s="782"/>
      <c r="W17" s="783"/>
      <c r="X17" s="783"/>
      <c r="Y17" s="783"/>
      <c r="Z17" s="783"/>
      <c r="AA17" s="783"/>
      <c r="AB17" s="783"/>
      <c r="AC17" s="783"/>
      <c r="AD17" s="783"/>
      <c r="AE17" s="783"/>
      <c r="AF17" s="783"/>
      <c r="AG17" s="783"/>
      <c r="AH17" s="783"/>
      <c r="AI17" s="784"/>
    </row>
    <row r="18" spans="2:35" ht="23.1" customHeight="1">
      <c r="B18" s="80"/>
      <c r="C18" s="588">
        <v>1</v>
      </c>
      <c r="D18" s="410"/>
      <c r="E18" s="588"/>
      <c r="F18" s="588"/>
      <c r="G18" s="1037"/>
      <c r="H18" s="588"/>
      <c r="I18" s="588"/>
      <c r="J18" s="588"/>
      <c r="K18" s="429"/>
      <c r="L18" s="429"/>
      <c r="M18" s="429"/>
      <c r="N18" s="429"/>
      <c r="O18" s="429"/>
      <c r="P18" s="1038"/>
      <c r="Q18" s="423">
        <f>L18+M18+N18</f>
        <v>0</v>
      </c>
      <c r="R18" s="1029"/>
      <c r="S18" s="1030"/>
      <c r="T18" s="72"/>
      <c r="V18" s="782"/>
      <c r="W18" s="783"/>
      <c r="X18" s="783"/>
      <c r="Y18" s="783"/>
      <c r="Z18" s="783"/>
      <c r="AA18" s="783"/>
      <c r="AB18" s="783"/>
      <c r="AC18" s="783"/>
      <c r="AD18" s="783"/>
      <c r="AE18" s="783"/>
      <c r="AF18" s="783"/>
      <c r="AG18" s="783"/>
      <c r="AH18" s="783"/>
      <c r="AI18" s="784"/>
    </row>
    <row r="19" spans="2:35" ht="23.1" customHeight="1">
      <c r="B19" s="80"/>
      <c r="C19" s="588">
        <v>2</v>
      </c>
      <c r="D19" s="410"/>
      <c r="E19" s="588"/>
      <c r="F19" s="588"/>
      <c r="G19" s="1037"/>
      <c r="H19" s="588"/>
      <c r="I19" s="588"/>
      <c r="J19" s="588"/>
      <c r="K19" s="429"/>
      <c r="L19" s="429"/>
      <c r="M19" s="429"/>
      <c r="N19" s="429"/>
      <c r="O19" s="429"/>
      <c r="P19" s="1038"/>
      <c r="Q19" s="423">
        <f t="shared" ref="Q19:Q27" si="0">L19+M19+N19</f>
        <v>0</v>
      </c>
      <c r="R19" s="1029"/>
      <c r="S19" s="1030"/>
      <c r="T19" s="72"/>
      <c r="V19" s="782"/>
      <c r="W19" s="783"/>
      <c r="X19" s="783"/>
      <c r="Y19" s="783"/>
      <c r="Z19" s="783"/>
      <c r="AA19" s="783"/>
      <c r="AB19" s="783"/>
      <c r="AC19" s="783"/>
      <c r="AD19" s="783"/>
      <c r="AE19" s="783"/>
      <c r="AF19" s="783"/>
      <c r="AG19" s="783"/>
      <c r="AH19" s="783"/>
      <c r="AI19" s="784"/>
    </row>
    <row r="20" spans="2:35" ht="23.1" customHeight="1">
      <c r="B20" s="80"/>
      <c r="C20" s="588">
        <v>3</v>
      </c>
      <c r="D20" s="410"/>
      <c r="E20" s="588"/>
      <c r="F20" s="588"/>
      <c r="G20" s="1037"/>
      <c r="H20" s="588"/>
      <c r="I20" s="588"/>
      <c r="J20" s="588"/>
      <c r="K20" s="429"/>
      <c r="L20" s="429"/>
      <c r="M20" s="429"/>
      <c r="N20" s="429"/>
      <c r="O20" s="429"/>
      <c r="P20" s="1038"/>
      <c r="Q20" s="423">
        <f t="shared" si="0"/>
        <v>0</v>
      </c>
      <c r="R20" s="1029"/>
      <c r="S20" s="1030"/>
      <c r="T20" s="72"/>
      <c r="V20" s="782"/>
      <c r="W20" s="783"/>
      <c r="X20" s="783"/>
      <c r="Y20" s="783"/>
      <c r="Z20" s="783"/>
      <c r="AA20" s="783"/>
      <c r="AB20" s="783"/>
      <c r="AC20" s="783"/>
      <c r="AD20" s="783"/>
      <c r="AE20" s="783"/>
      <c r="AF20" s="783"/>
      <c r="AG20" s="783"/>
      <c r="AH20" s="783"/>
      <c r="AI20" s="784"/>
    </row>
    <row r="21" spans="2:35" ht="23.1" customHeight="1">
      <c r="B21" s="80"/>
      <c r="C21" s="588">
        <v>4</v>
      </c>
      <c r="D21" s="410"/>
      <c r="E21" s="588"/>
      <c r="F21" s="588"/>
      <c r="G21" s="1037"/>
      <c r="H21" s="588"/>
      <c r="I21" s="588"/>
      <c r="J21" s="588"/>
      <c r="K21" s="429"/>
      <c r="L21" s="429"/>
      <c r="M21" s="429"/>
      <c r="N21" s="429"/>
      <c r="O21" s="429"/>
      <c r="P21" s="1038"/>
      <c r="Q21" s="423">
        <f t="shared" si="0"/>
        <v>0</v>
      </c>
      <c r="R21" s="1029"/>
      <c r="S21" s="1030"/>
      <c r="T21" s="72"/>
      <c r="V21" s="782"/>
      <c r="W21" s="783"/>
      <c r="X21" s="783"/>
      <c r="Y21" s="783"/>
      <c r="Z21" s="783"/>
      <c r="AA21" s="783"/>
      <c r="AB21" s="783"/>
      <c r="AC21" s="783"/>
      <c r="AD21" s="783"/>
      <c r="AE21" s="783"/>
      <c r="AF21" s="783"/>
      <c r="AG21" s="783"/>
      <c r="AH21" s="783"/>
      <c r="AI21" s="784"/>
    </row>
    <row r="22" spans="2:35" ht="23.1" customHeight="1">
      <c r="B22" s="80"/>
      <c r="C22" s="588">
        <v>5</v>
      </c>
      <c r="D22" s="410"/>
      <c r="E22" s="588"/>
      <c r="F22" s="588"/>
      <c r="G22" s="1037"/>
      <c r="H22" s="588"/>
      <c r="I22" s="588"/>
      <c r="J22" s="588"/>
      <c r="K22" s="429"/>
      <c r="L22" s="429"/>
      <c r="M22" s="429"/>
      <c r="N22" s="429"/>
      <c r="O22" s="429"/>
      <c r="P22" s="1038"/>
      <c r="Q22" s="423">
        <f t="shared" si="0"/>
        <v>0</v>
      </c>
      <c r="R22" s="1029"/>
      <c r="S22" s="1030"/>
      <c r="T22" s="72"/>
      <c r="V22" s="782"/>
      <c r="W22" s="783"/>
      <c r="X22" s="783"/>
      <c r="Y22" s="783"/>
      <c r="Z22" s="783"/>
      <c r="AA22" s="783"/>
      <c r="AB22" s="783"/>
      <c r="AC22" s="783"/>
      <c r="AD22" s="783"/>
      <c r="AE22" s="783"/>
      <c r="AF22" s="783"/>
      <c r="AG22" s="783"/>
      <c r="AH22" s="783"/>
      <c r="AI22" s="784"/>
    </row>
    <row r="23" spans="2:35" ht="23.1" customHeight="1">
      <c r="B23" s="80"/>
      <c r="C23" s="588">
        <v>6</v>
      </c>
      <c r="D23" s="410"/>
      <c r="E23" s="588"/>
      <c r="F23" s="588"/>
      <c r="G23" s="1037"/>
      <c r="H23" s="588"/>
      <c r="I23" s="588"/>
      <c r="J23" s="588"/>
      <c r="K23" s="429"/>
      <c r="L23" s="429"/>
      <c r="M23" s="429"/>
      <c r="N23" s="429"/>
      <c r="O23" s="429"/>
      <c r="P23" s="1038"/>
      <c r="Q23" s="423">
        <f t="shared" si="0"/>
        <v>0</v>
      </c>
      <c r="R23" s="1029"/>
      <c r="S23" s="1030"/>
      <c r="T23" s="72"/>
      <c r="V23" s="782"/>
      <c r="W23" s="783"/>
      <c r="X23" s="783"/>
      <c r="Y23" s="783"/>
      <c r="Z23" s="783"/>
      <c r="AA23" s="783"/>
      <c r="AB23" s="783"/>
      <c r="AC23" s="783"/>
      <c r="AD23" s="783"/>
      <c r="AE23" s="783"/>
      <c r="AF23" s="783"/>
      <c r="AG23" s="783"/>
      <c r="AH23" s="783"/>
      <c r="AI23" s="784"/>
    </row>
    <row r="24" spans="2:35" ht="23.1" customHeight="1">
      <c r="B24" s="80"/>
      <c r="C24" s="588">
        <v>7</v>
      </c>
      <c r="D24" s="410"/>
      <c r="E24" s="588"/>
      <c r="F24" s="588"/>
      <c r="G24" s="1037"/>
      <c r="H24" s="588"/>
      <c r="I24" s="588"/>
      <c r="J24" s="588"/>
      <c r="K24" s="429"/>
      <c r="L24" s="429"/>
      <c r="M24" s="429"/>
      <c r="N24" s="429"/>
      <c r="O24" s="429"/>
      <c r="P24" s="1038"/>
      <c r="Q24" s="423">
        <f t="shared" si="0"/>
        <v>0</v>
      </c>
      <c r="R24" s="1029"/>
      <c r="S24" s="1030"/>
      <c r="T24" s="72"/>
      <c r="V24" s="782"/>
      <c r="W24" s="783"/>
      <c r="X24" s="783"/>
      <c r="Y24" s="783"/>
      <c r="Z24" s="783"/>
      <c r="AA24" s="783"/>
      <c r="AB24" s="783"/>
      <c r="AC24" s="783"/>
      <c r="AD24" s="783"/>
      <c r="AE24" s="783"/>
      <c r="AF24" s="783"/>
      <c r="AG24" s="783"/>
      <c r="AH24" s="783"/>
      <c r="AI24" s="784"/>
    </row>
    <row r="25" spans="2:35" ht="23.1" customHeight="1">
      <c r="B25" s="80"/>
      <c r="C25" s="588">
        <v>8</v>
      </c>
      <c r="D25" s="410"/>
      <c r="E25" s="588"/>
      <c r="F25" s="588"/>
      <c r="G25" s="1037"/>
      <c r="H25" s="588"/>
      <c r="I25" s="588"/>
      <c r="J25" s="588"/>
      <c r="K25" s="429"/>
      <c r="L25" s="429"/>
      <c r="M25" s="429"/>
      <c r="N25" s="429"/>
      <c r="O25" s="429"/>
      <c r="P25" s="1038"/>
      <c r="Q25" s="423">
        <f t="shared" si="0"/>
        <v>0</v>
      </c>
      <c r="R25" s="1029"/>
      <c r="S25" s="1030"/>
      <c r="T25" s="72"/>
      <c r="V25" s="782"/>
      <c r="W25" s="783"/>
      <c r="X25" s="783"/>
      <c r="Y25" s="783"/>
      <c r="Z25" s="783"/>
      <c r="AA25" s="783"/>
      <c r="AB25" s="783"/>
      <c r="AC25" s="783"/>
      <c r="AD25" s="783"/>
      <c r="AE25" s="783"/>
      <c r="AF25" s="783"/>
      <c r="AG25" s="783"/>
      <c r="AH25" s="783"/>
      <c r="AI25" s="784"/>
    </row>
    <row r="26" spans="2:35" ht="23.1" customHeight="1">
      <c r="B26" s="80"/>
      <c r="C26" s="588">
        <v>9</v>
      </c>
      <c r="D26" s="1031"/>
      <c r="E26" s="1032"/>
      <c r="F26" s="1032"/>
      <c r="G26" s="1039"/>
      <c r="H26" s="1032"/>
      <c r="I26" s="1032"/>
      <c r="J26" s="1032"/>
      <c r="K26" s="915"/>
      <c r="L26" s="915"/>
      <c r="M26" s="915"/>
      <c r="N26" s="915"/>
      <c r="O26" s="915"/>
      <c r="P26" s="1040"/>
      <c r="Q26" s="423">
        <f t="shared" si="0"/>
        <v>0</v>
      </c>
      <c r="R26" s="1029"/>
      <c r="S26" s="1030"/>
      <c r="T26" s="72"/>
      <c r="V26" s="782"/>
      <c r="W26" s="783"/>
      <c r="X26" s="783"/>
      <c r="Y26" s="783"/>
      <c r="Z26" s="783"/>
      <c r="AA26" s="783"/>
      <c r="AB26" s="783"/>
      <c r="AC26" s="783"/>
      <c r="AD26" s="783"/>
      <c r="AE26" s="783"/>
      <c r="AF26" s="783"/>
      <c r="AG26" s="783"/>
      <c r="AH26" s="783"/>
      <c r="AI26" s="784"/>
    </row>
    <row r="27" spans="2:35" ht="23.1" customHeight="1">
      <c r="B27" s="80"/>
      <c r="C27" s="1034">
        <v>10</v>
      </c>
      <c r="D27" s="1033"/>
      <c r="E27" s="1034"/>
      <c r="F27" s="1034"/>
      <c r="G27" s="1041"/>
      <c r="H27" s="1034"/>
      <c r="I27" s="1034"/>
      <c r="J27" s="1034"/>
      <c r="K27" s="917"/>
      <c r="L27" s="917"/>
      <c r="M27" s="917"/>
      <c r="N27" s="917"/>
      <c r="O27" s="917"/>
      <c r="P27" s="1042"/>
      <c r="Q27" s="423">
        <f t="shared" si="0"/>
        <v>0</v>
      </c>
      <c r="R27" s="1035"/>
      <c r="S27" s="1036"/>
      <c r="T27" s="72"/>
      <c r="V27" s="782"/>
      <c r="W27" s="783"/>
      <c r="X27" s="783"/>
      <c r="Y27" s="783"/>
      <c r="Z27" s="783"/>
      <c r="AA27" s="783"/>
      <c r="AB27" s="783"/>
      <c r="AC27" s="783"/>
      <c r="AD27" s="783"/>
      <c r="AE27" s="783"/>
      <c r="AF27" s="783"/>
      <c r="AG27" s="783"/>
      <c r="AH27" s="783"/>
      <c r="AI27" s="784"/>
    </row>
    <row r="28" spans="2:35" ht="23.1" customHeight="1" thickBot="1">
      <c r="B28" s="80"/>
      <c r="C28" s="597"/>
      <c r="D28" s="597"/>
      <c r="E28" s="150"/>
      <c r="F28" s="150"/>
      <c r="G28" s="150"/>
      <c r="H28" s="1408" t="s">
        <v>981</v>
      </c>
      <c r="I28" s="1409"/>
      <c r="J28" s="1410"/>
      <c r="K28" s="156">
        <f t="shared" ref="K28:S28" si="1">SUM(K18:K27)</f>
        <v>0</v>
      </c>
      <c r="L28" s="153">
        <f t="shared" si="1"/>
        <v>0</v>
      </c>
      <c r="M28" s="155">
        <f t="shared" si="1"/>
        <v>0</v>
      </c>
      <c r="N28" s="155">
        <f t="shared" si="1"/>
        <v>0</v>
      </c>
      <c r="O28" s="156">
        <f t="shared" si="1"/>
        <v>0</v>
      </c>
      <c r="P28" s="156">
        <f t="shared" si="1"/>
        <v>0</v>
      </c>
      <c r="Q28" s="424">
        <f t="shared" si="1"/>
        <v>0</v>
      </c>
      <c r="R28" s="155">
        <f t="shared" si="1"/>
        <v>0</v>
      </c>
      <c r="S28" s="119">
        <f t="shared" si="1"/>
        <v>0</v>
      </c>
      <c r="T28" s="72"/>
      <c r="V28" s="795"/>
      <c r="W28" s="783"/>
      <c r="X28" s="783"/>
      <c r="Y28" s="783"/>
      <c r="Z28" s="783"/>
      <c r="AA28" s="783"/>
      <c r="AB28" s="783"/>
      <c r="AC28" s="783"/>
      <c r="AD28" s="783"/>
      <c r="AE28" s="783"/>
      <c r="AF28" s="783"/>
      <c r="AG28" s="783"/>
      <c r="AH28" s="783"/>
      <c r="AI28" s="784"/>
    </row>
    <row r="29" spans="2:35" ht="23.1" customHeight="1">
      <c r="B29" s="80"/>
      <c r="C29" s="597"/>
      <c r="D29" s="597"/>
      <c r="E29" s="150"/>
      <c r="F29" s="150"/>
      <c r="G29" s="150"/>
      <c r="H29" s="354"/>
      <c r="I29" s="354"/>
      <c r="J29" s="354"/>
      <c r="K29" s="150"/>
      <c r="L29" s="150"/>
      <c r="M29" s="150"/>
      <c r="N29" s="150"/>
      <c r="O29" s="150"/>
      <c r="P29" s="150"/>
      <c r="Q29" s="150"/>
      <c r="R29" s="150"/>
      <c r="S29" s="150"/>
      <c r="T29" s="72"/>
      <c r="V29" s="795"/>
      <c r="W29" s="783"/>
      <c r="X29" s="783"/>
      <c r="Y29" s="783"/>
      <c r="Z29" s="783"/>
      <c r="AA29" s="783"/>
      <c r="AB29" s="783"/>
      <c r="AC29" s="783"/>
      <c r="AD29" s="783"/>
      <c r="AE29" s="783"/>
      <c r="AF29" s="783"/>
      <c r="AG29" s="783"/>
      <c r="AH29" s="783"/>
      <c r="AI29" s="784"/>
    </row>
    <row r="30" spans="2:35" ht="23.1" customHeight="1">
      <c r="B30" s="80"/>
      <c r="C30" s="597"/>
      <c r="D30" s="597"/>
      <c r="E30" s="150"/>
      <c r="F30" s="150"/>
      <c r="G30" s="150"/>
      <c r="H30" s="354"/>
      <c r="I30" s="354"/>
      <c r="J30" s="354"/>
      <c r="K30" s="150"/>
      <c r="L30" s="150"/>
      <c r="M30" s="150"/>
      <c r="N30" s="150"/>
      <c r="O30" s="150"/>
      <c r="P30" s="150"/>
      <c r="Q30" s="150"/>
      <c r="R30" s="150"/>
      <c r="S30" s="150"/>
      <c r="T30" s="72"/>
      <c r="V30" s="795"/>
      <c r="W30" s="783"/>
      <c r="X30" s="783"/>
      <c r="Y30" s="783"/>
      <c r="Z30" s="783"/>
      <c r="AA30" s="783"/>
      <c r="AB30" s="783"/>
      <c r="AC30" s="783"/>
      <c r="AD30" s="783"/>
      <c r="AE30" s="783"/>
      <c r="AF30" s="783"/>
      <c r="AG30" s="783"/>
      <c r="AH30" s="783"/>
      <c r="AI30" s="784"/>
    </row>
    <row r="31" spans="2:35" ht="23.1" customHeight="1">
      <c r="B31" s="80"/>
      <c r="C31" s="597"/>
      <c r="D31" s="597"/>
      <c r="E31" s="150"/>
      <c r="F31" s="150"/>
      <c r="G31" s="150"/>
      <c r="H31" s="354"/>
      <c r="I31" s="354"/>
      <c r="J31" s="354"/>
      <c r="K31" s="150"/>
      <c r="L31" s="150"/>
      <c r="M31" s="150"/>
      <c r="N31" s="150"/>
      <c r="O31" s="150"/>
      <c r="P31" s="150"/>
      <c r="Q31" s="150"/>
      <c r="R31" s="150"/>
      <c r="S31" s="150"/>
      <c r="T31" s="72"/>
      <c r="V31" s="795"/>
      <c r="W31" s="783"/>
      <c r="X31" s="783"/>
      <c r="Y31" s="783"/>
      <c r="Z31" s="783"/>
      <c r="AA31" s="783"/>
      <c r="AB31" s="783"/>
      <c r="AC31" s="783"/>
      <c r="AD31" s="783"/>
      <c r="AE31" s="783"/>
      <c r="AF31" s="783"/>
      <c r="AG31" s="783"/>
      <c r="AH31" s="783"/>
      <c r="AI31" s="784"/>
    </row>
    <row r="32" spans="2:35" ht="23.1" customHeight="1">
      <c r="B32" s="80"/>
      <c r="C32" s="38" t="s">
        <v>982</v>
      </c>
      <c r="D32" s="906"/>
      <c r="E32" s="64"/>
      <c r="F32" s="64"/>
      <c r="G32" s="150"/>
      <c r="H32" s="354"/>
      <c r="I32" s="354"/>
      <c r="J32" s="354"/>
      <c r="K32" s="150"/>
      <c r="L32" s="150"/>
      <c r="M32" s="150"/>
      <c r="N32" s="150"/>
      <c r="O32" s="150"/>
      <c r="P32" s="150"/>
      <c r="Q32" s="150"/>
      <c r="R32" s="150"/>
      <c r="S32" s="150"/>
      <c r="T32" s="72"/>
      <c r="V32" s="795"/>
      <c r="W32" s="783"/>
      <c r="X32" s="783"/>
      <c r="Y32" s="783"/>
      <c r="Z32" s="783"/>
      <c r="AA32" s="783"/>
      <c r="AB32" s="783"/>
      <c r="AC32" s="783"/>
      <c r="AD32" s="783"/>
      <c r="AE32" s="783"/>
      <c r="AF32" s="783"/>
      <c r="AG32" s="783"/>
      <c r="AH32" s="783"/>
      <c r="AI32" s="784"/>
    </row>
    <row r="33" spans="2:35" ht="23.1" customHeight="1">
      <c r="B33" s="80"/>
      <c r="C33" s="597"/>
      <c r="D33" s="597"/>
      <c r="E33" s="150"/>
      <c r="F33" s="150"/>
      <c r="G33" s="150"/>
      <c r="H33" s="354"/>
      <c r="I33" s="354"/>
      <c r="J33" s="354"/>
      <c r="K33" s="150"/>
      <c r="L33" s="150"/>
      <c r="M33" s="150"/>
      <c r="N33" s="150"/>
      <c r="O33" s="150"/>
      <c r="P33" s="150"/>
      <c r="Q33" s="150"/>
      <c r="R33" s="150"/>
      <c r="S33" s="150"/>
      <c r="T33" s="72"/>
      <c r="V33" s="795"/>
      <c r="W33" s="783"/>
      <c r="X33" s="783"/>
      <c r="Y33" s="783"/>
      <c r="Z33" s="783"/>
      <c r="AA33" s="783"/>
      <c r="AB33" s="783"/>
      <c r="AC33" s="783"/>
      <c r="AD33" s="783"/>
      <c r="AE33" s="783"/>
      <c r="AF33" s="783"/>
      <c r="AG33" s="783"/>
      <c r="AH33" s="783"/>
      <c r="AI33" s="784"/>
    </row>
    <row r="34" spans="2:35" ht="30" customHeight="1">
      <c r="B34" s="80"/>
      <c r="C34" s="134" t="s">
        <v>960</v>
      </c>
      <c r="D34" s="159" t="s">
        <v>961</v>
      </c>
      <c r="E34" s="134" t="s">
        <v>962</v>
      </c>
      <c r="F34" s="134" t="s">
        <v>962</v>
      </c>
      <c r="G34" s="134" t="s">
        <v>922</v>
      </c>
      <c r="H34" s="134" t="s">
        <v>963</v>
      </c>
      <c r="I34" s="134" t="s">
        <v>964</v>
      </c>
      <c r="J34" s="134" t="s">
        <v>965</v>
      </c>
      <c r="K34" s="134" t="s">
        <v>966</v>
      </c>
      <c r="L34" s="134" t="s">
        <v>652</v>
      </c>
      <c r="M34" s="831" t="s">
        <v>983</v>
      </c>
      <c r="N34" s="832" t="s">
        <v>984</v>
      </c>
      <c r="O34" s="831" t="s">
        <v>969</v>
      </c>
      <c r="P34" s="833" t="s">
        <v>985</v>
      </c>
      <c r="Q34" s="134" t="s">
        <v>652</v>
      </c>
      <c r="R34" s="1369" t="s">
        <v>971</v>
      </c>
      <c r="S34" s="1370"/>
      <c r="T34" s="72"/>
      <c r="V34" s="795"/>
      <c r="W34" s="783"/>
      <c r="X34" s="783"/>
      <c r="Y34" s="783"/>
      <c r="Z34" s="783"/>
      <c r="AA34" s="783"/>
      <c r="AB34" s="783"/>
      <c r="AC34" s="783"/>
      <c r="AD34" s="783"/>
      <c r="AE34" s="783"/>
      <c r="AF34" s="783"/>
      <c r="AG34" s="783"/>
      <c r="AH34" s="783"/>
      <c r="AI34" s="784"/>
    </row>
    <row r="35" spans="2:35" ht="23.1" customHeight="1">
      <c r="B35" s="80"/>
      <c r="C35" s="163" t="s">
        <v>972</v>
      </c>
      <c r="D35" s="164" t="s">
        <v>972</v>
      </c>
      <c r="E35" s="163" t="s">
        <v>986</v>
      </c>
      <c r="F35" s="163" t="s">
        <v>974</v>
      </c>
      <c r="G35" s="163" t="s">
        <v>987</v>
      </c>
      <c r="H35" s="163" t="s">
        <v>975</v>
      </c>
      <c r="I35" s="625" t="s">
        <v>976</v>
      </c>
      <c r="J35" s="163" t="s">
        <v>977</v>
      </c>
      <c r="K35" s="163" t="s">
        <v>988</v>
      </c>
      <c r="L35" s="163">
        <f>ejercicio-1</f>
        <v>2024</v>
      </c>
      <c r="M35" s="163">
        <f>ejercicio</f>
        <v>2025</v>
      </c>
      <c r="N35" s="163">
        <f>ejercicio</f>
        <v>2025</v>
      </c>
      <c r="O35" s="163">
        <f>ejercicio</f>
        <v>2025</v>
      </c>
      <c r="P35" s="163">
        <f>ejercicio</f>
        <v>2025</v>
      </c>
      <c r="Q35" s="163">
        <f>ejercicio</f>
        <v>2025</v>
      </c>
      <c r="R35" s="421" t="s">
        <v>979</v>
      </c>
      <c r="S35" s="422" t="s">
        <v>980</v>
      </c>
      <c r="T35" s="72"/>
      <c r="V35" s="795"/>
      <c r="W35" s="783"/>
      <c r="X35" s="783"/>
      <c r="Y35" s="783"/>
      <c r="Z35" s="783"/>
      <c r="AA35" s="783"/>
      <c r="AB35" s="783"/>
      <c r="AC35" s="783"/>
      <c r="AD35" s="783"/>
      <c r="AE35" s="783"/>
      <c r="AF35" s="783"/>
      <c r="AG35" s="783"/>
      <c r="AH35" s="783"/>
      <c r="AI35" s="784"/>
    </row>
    <row r="36" spans="2:35" ht="23.1" customHeight="1">
      <c r="B36" s="80"/>
      <c r="C36" s="588">
        <v>1</v>
      </c>
      <c r="D36" s="410" t="s">
        <v>989</v>
      </c>
      <c r="E36" s="589">
        <v>45869</v>
      </c>
      <c r="F36" s="589">
        <v>48426</v>
      </c>
      <c r="G36" s="587" t="s">
        <v>990</v>
      </c>
      <c r="H36" s="588">
        <v>170</v>
      </c>
      <c r="I36" s="588"/>
      <c r="J36" s="357"/>
      <c r="K36" s="429">
        <v>1500000</v>
      </c>
      <c r="L36" s="429">
        <v>0</v>
      </c>
      <c r="M36" s="921">
        <v>1500000</v>
      </c>
      <c r="N36" s="921"/>
      <c r="O36" s="921"/>
      <c r="P36" s="1038"/>
      <c r="Q36" s="423">
        <f>L36+M36+N36</f>
        <v>1500000</v>
      </c>
      <c r="R36" s="1027"/>
      <c r="S36" s="1028">
        <v>1500000</v>
      </c>
      <c r="T36" s="72"/>
      <c r="V36" s="795"/>
      <c r="W36" s="783"/>
      <c r="X36" s="783"/>
      <c r="Y36" s="783"/>
      <c r="Z36" s="783"/>
      <c r="AA36" s="783"/>
      <c r="AB36" s="783"/>
      <c r="AC36" s="783"/>
      <c r="AD36" s="783"/>
      <c r="AE36" s="783"/>
      <c r="AF36" s="783"/>
      <c r="AG36" s="783"/>
      <c r="AH36" s="783"/>
      <c r="AI36" s="784"/>
    </row>
    <row r="37" spans="2:35" ht="23.1" customHeight="1">
      <c r="B37" s="80"/>
      <c r="C37" s="588">
        <v>2</v>
      </c>
      <c r="D37" s="410"/>
      <c r="E37" s="589"/>
      <c r="F37" s="589"/>
      <c r="G37" s="587"/>
      <c r="H37" s="588"/>
      <c r="I37" s="588"/>
      <c r="J37" s="588"/>
      <c r="K37" s="429"/>
      <c r="L37" s="429"/>
      <c r="M37" s="429"/>
      <c r="N37" s="429"/>
      <c r="O37" s="429"/>
      <c r="P37" s="1038"/>
      <c r="Q37" s="423">
        <f t="shared" ref="Q37:Q50" si="2">L37+M37+N37</f>
        <v>0</v>
      </c>
      <c r="R37" s="1029"/>
      <c r="S37" s="1030"/>
      <c r="T37" s="72"/>
      <c r="V37" s="795"/>
      <c r="W37" s="783"/>
      <c r="X37" s="783"/>
      <c r="Y37" s="783"/>
      <c r="Z37" s="783"/>
      <c r="AA37" s="783"/>
      <c r="AB37" s="783"/>
      <c r="AC37" s="783"/>
      <c r="AD37" s="783"/>
      <c r="AE37" s="783"/>
      <c r="AF37" s="783"/>
      <c r="AG37" s="783"/>
      <c r="AH37" s="783"/>
      <c r="AI37" s="784"/>
    </row>
    <row r="38" spans="2:35" ht="23.1" customHeight="1">
      <c r="B38" s="80"/>
      <c r="C38" s="588">
        <v>3</v>
      </c>
      <c r="D38" s="410"/>
      <c r="E38" s="589"/>
      <c r="F38" s="589"/>
      <c r="G38" s="587"/>
      <c r="H38" s="588"/>
      <c r="I38" s="588"/>
      <c r="J38" s="588"/>
      <c r="K38" s="429"/>
      <c r="L38" s="429"/>
      <c r="M38" s="429"/>
      <c r="N38" s="429"/>
      <c r="O38" s="429"/>
      <c r="P38" s="1038"/>
      <c r="Q38" s="423">
        <f t="shared" si="2"/>
        <v>0</v>
      </c>
      <c r="R38" s="1029"/>
      <c r="S38" s="1030"/>
      <c r="T38" s="72"/>
      <c r="V38" s="795"/>
      <c r="W38" s="783"/>
      <c r="X38" s="783"/>
      <c r="Y38" s="783"/>
      <c r="Z38" s="783"/>
      <c r="AA38" s="783"/>
      <c r="AB38" s="783"/>
      <c r="AC38" s="783"/>
      <c r="AD38" s="783"/>
      <c r="AE38" s="783"/>
      <c r="AF38" s="783"/>
      <c r="AG38" s="783"/>
      <c r="AH38" s="783"/>
      <c r="AI38" s="784"/>
    </row>
    <row r="39" spans="2:35" ht="23.1" customHeight="1">
      <c r="B39" s="80"/>
      <c r="C39" s="588">
        <v>4</v>
      </c>
      <c r="D39" s="410"/>
      <c r="E39" s="589"/>
      <c r="F39" s="589"/>
      <c r="G39" s="587"/>
      <c r="H39" s="588"/>
      <c r="I39" s="588"/>
      <c r="J39" s="588"/>
      <c r="K39" s="429"/>
      <c r="L39" s="429"/>
      <c r="M39" s="429"/>
      <c r="N39" s="429"/>
      <c r="O39" s="429"/>
      <c r="P39" s="1038"/>
      <c r="Q39" s="423">
        <f t="shared" si="2"/>
        <v>0</v>
      </c>
      <c r="R39" s="1029"/>
      <c r="S39" s="1030"/>
      <c r="T39" s="72"/>
      <c r="V39" s="795"/>
      <c r="W39" s="783"/>
      <c r="X39" s="783"/>
      <c r="Y39" s="783"/>
      <c r="Z39" s="783"/>
      <c r="AA39" s="783"/>
      <c r="AB39" s="783"/>
      <c r="AC39" s="783"/>
      <c r="AD39" s="783"/>
      <c r="AE39" s="783"/>
      <c r="AF39" s="783"/>
      <c r="AG39" s="783"/>
      <c r="AH39" s="783"/>
      <c r="AI39" s="784"/>
    </row>
    <row r="40" spans="2:35" ht="23.1" customHeight="1">
      <c r="B40" s="80"/>
      <c r="C40" s="588">
        <v>5</v>
      </c>
      <c r="D40" s="410"/>
      <c r="E40" s="589"/>
      <c r="F40" s="589"/>
      <c r="G40" s="587"/>
      <c r="H40" s="588"/>
      <c r="I40" s="588"/>
      <c r="J40" s="588"/>
      <c r="K40" s="429"/>
      <c r="L40" s="429"/>
      <c r="M40" s="429"/>
      <c r="N40" s="429"/>
      <c r="O40" s="429"/>
      <c r="P40" s="1038"/>
      <c r="Q40" s="423">
        <f t="shared" si="2"/>
        <v>0</v>
      </c>
      <c r="R40" s="1029"/>
      <c r="S40" s="1030"/>
      <c r="T40" s="72"/>
      <c r="V40" s="795"/>
      <c r="W40" s="783"/>
      <c r="X40" s="783"/>
      <c r="Y40" s="783"/>
      <c r="Z40" s="783"/>
      <c r="AA40" s="783"/>
      <c r="AB40" s="783"/>
      <c r="AC40" s="783"/>
      <c r="AD40" s="783"/>
      <c r="AE40" s="783"/>
      <c r="AF40" s="783"/>
      <c r="AG40" s="783"/>
      <c r="AH40" s="783"/>
      <c r="AI40" s="784"/>
    </row>
    <row r="41" spans="2:35" ht="23.1" customHeight="1">
      <c r="B41" s="80"/>
      <c r="C41" s="588">
        <v>6</v>
      </c>
      <c r="D41" s="410"/>
      <c r="E41" s="589"/>
      <c r="F41" s="589"/>
      <c r="G41" s="587"/>
      <c r="H41" s="588"/>
      <c r="I41" s="588"/>
      <c r="J41" s="588"/>
      <c r="K41" s="429"/>
      <c r="L41" s="429"/>
      <c r="M41" s="429"/>
      <c r="N41" s="429"/>
      <c r="O41" s="429"/>
      <c r="P41" s="1038"/>
      <c r="Q41" s="423">
        <f t="shared" si="2"/>
        <v>0</v>
      </c>
      <c r="R41" s="1029"/>
      <c r="S41" s="1030"/>
      <c r="T41" s="72"/>
      <c r="V41" s="795"/>
      <c r="W41" s="783"/>
      <c r="X41" s="783"/>
      <c r="Y41" s="783"/>
      <c r="Z41" s="783"/>
      <c r="AA41" s="783"/>
      <c r="AB41" s="783"/>
      <c r="AC41" s="783"/>
      <c r="AD41" s="783"/>
      <c r="AE41" s="783"/>
      <c r="AF41" s="783"/>
      <c r="AG41" s="783"/>
      <c r="AH41" s="783"/>
      <c r="AI41" s="784"/>
    </row>
    <row r="42" spans="2:35" ht="23.1" customHeight="1">
      <c r="B42" s="80"/>
      <c r="C42" s="588">
        <v>7</v>
      </c>
      <c r="D42" s="410"/>
      <c r="E42" s="589"/>
      <c r="F42" s="589"/>
      <c r="G42" s="587"/>
      <c r="H42" s="588"/>
      <c r="I42" s="588"/>
      <c r="J42" s="588"/>
      <c r="K42" s="429"/>
      <c r="L42" s="429"/>
      <c r="M42" s="429"/>
      <c r="N42" s="429"/>
      <c r="O42" s="429"/>
      <c r="P42" s="1038"/>
      <c r="Q42" s="423">
        <f>L42+M42+N42</f>
        <v>0</v>
      </c>
      <c r="R42" s="1029"/>
      <c r="S42" s="1030"/>
      <c r="T42" s="72"/>
      <c r="V42" s="795"/>
      <c r="W42" s="783"/>
      <c r="X42" s="783"/>
      <c r="Y42" s="783"/>
      <c r="Z42" s="783"/>
      <c r="AA42" s="783"/>
      <c r="AB42" s="783"/>
      <c r="AC42" s="783"/>
      <c r="AD42" s="783"/>
      <c r="AE42" s="783"/>
      <c r="AF42" s="783"/>
      <c r="AG42" s="783"/>
      <c r="AH42" s="783"/>
      <c r="AI42" s="784"/>
    </row>
    <row r="43" spans="2:35" ht="23.1" customHeight="1">
      <c r="B43" s="80"/>
      <c r="C43" s="588">
        <v>8</v>
      </c>
      <c r="D43" s="410"/>
      <c r="E43" s="589"/>
      <c r="F43" s="589"/>
      <c r="G43" s="587"/>
      <c r="H43" s="588"/>
      <c r="I43" s="588"/>
      <c r="J43" s="588"/>
      <c r="K43" s="429"/>
      <c r="L43" s="429"/>
      <c r="M43" s="429"/>
      <c r="N43" s="429"/>
      <c r="O43" s="429"/>
      <c r="P43" s="1038"/>
      <c r="Q43" s="423">
        <f t="shared" si="2"/>
        <v>0</v>
      </c>
      <c r="R43" s="1029"/>
      <c r="S43" s="1030"/>
      <c r="T43" s="72"/>
      <c r="V43" s="795"/>
      <c r="W43" s="783"/>
      <c r="X43" s="783"/>
      <c r="Y43" s="783"/>
      <c r="Z43" s="783"/>
      <c r="AA43" s="783"/>
      <c r="AB43" s="783"/>
      <c r="AC43" s="783"/>
      <c r="AD43" s="783"/>
      <c r="AE43" s="783"/>
      <c r="AF43" s="783"/>
      <c r="AG43" s="783"/>
      <c r="AH43" s="783"/>
      <c r="AI43" s="784"/>
    </row>
    <row r="44" spans="2:35" ht="23.1" customHeight="1">
      <c r="B44" s="80"/>
      <c r="C44" s="588">
        <v>9</v>
      </c>
      <c r="D44" s="410"/>
      <c r="E44" s="589"/>
      <c r="F44" s="589"/>
      <c r="G44" s="587"/>
      <c r="H44" s="588"/>
      <c r="I44" s="588"/>
      <c r="J44" s="588"/>
      <c r="K44" s="429"/>
      <c r="L44" s="429"/>
      <c r="M44" s="429"/>
      <c r="N44" s="429"/>
      <c r="O44" s="429"/>
      <c r="P44" s="1038"/>
      <c r="Q44" s="423">
        <f t="shared" si="2"/>
        <v>0</v>
      </c>
      <c r="R44" s="1029"/>
      <c r="S44" s="1030"/>
      <c r="T44" s="72"/>
      <c r="V44" s="795"/>
      <c r="W44" s="783"/>
      <c r="X44" s="783"/>
      <c r="Y44" s="783"/>
      <c r="Z44" s="783"/>
      <c r="AA44" s="783"/>
      <c r="AB44" s="783"/>
      <c r="AC44" s="783"/>
      <c r="AD44" s="783"/>
      <c r="AE44" s="783"/>
      <c r="AF44" s="783"/>
      <c r="AG44" s="783"/>
      <c r="AH44" s="783"/>
      <c r="AI44" s="784"/>
    </row>
    <row r="45" spans="2:35" ht="23.1" customHeight="1">
      <c r="B45" s="80"/>
      <c r="C45" s="588">
        <v>10</v>
      </c>
      <c r="D45" s="410"/>
      <c r="E45" s="589"/>
      <c r="F45" s="589"/>
      <c r="G45" s="587"/>
      <c r="H45" s="588"/>
      <c r="I45" s="588"/>
      <c r="J45" s="588"/>
      <c r="K45" s="429"/>
      <c r="L45" s="429"/>
      <c r="M45" s="429"/>
      <c r="N45" s="429"/>
      <c r="O45" s="429"/>
      <c r="P45" s="1038"/>
      <c r="Q45" s="423">
        <f t="shared" si="2"/>
        <v>0</v>
      </c>
      <c r="R45" s="1029"/>
      <c r="S45" s="1030"/>
      <c r="T45" s="72"/>
      <c r="V45" s="795"/>
      <c r="W45" s="783"/>
      <c r="X45" s="783"/>
      <c r="Y45" s="783"/>
      <c r="Z45" s="783"/>
      <c r="AA45" s="783"/>
      <c r="AB45" s="783"/>
      <c r="AC45" s="783"/>
      <c r="AD45" s="783"/>
      <c r="AE45" s="783"/>
      <c r="AF45" s="783"/>
      <c r="AG45" s="783"/>
      <c r="AH45" s="783"/>
      <c r="AI45" s="784"/>
    </row>
    <row r="46" spans="2:35" ht="23.1" customHeight="1">
      <c r="B46" s="80"/>
      <c r="C46" s="588">
        <v>11</v>
      </c>
      <c r="D46" s="410"/>
      <c r="E46" s="588"/>
      <c r="F46" s="588"/>
      <c r="G46" s="587"/>
      <c r="H46" s="588"/>
      <c r="I46" s="588"/>
      <c r="J46" s="588"/>
      <c r="K46" s="429"/>
      <c r="L46" s="429"/>
      <c r="M46" s="429"/>
      <c r="N46" s="429"/>
      <c r="O46" s="429"/>
      <c r="P46" s="1038"/>
      <c r="Q46" s="423">
        <f t="shared" si="2"/>
        <v>0</v>
      </c>
      <c r="R46" s="1029"/>
      <c r="S46" s="1030"/>
      <c r="T46" s="72"/>
      <c r="V46" s="795"/>
      <c r="W46" s="783"/>
      <c r="X46" s="783"/>
      <c r="Y46" s="783"/>
      <c r="Z46" s="783"/>
      <c r="AA46" s="783"/>
      <c r="AB46" s="783"/>
      <c r="AC46" s="783"/>
      <c r="AD46" s="783"/>
      <c r="AE46" s="783"/>
      <c r="AF46" s="783"/>
      <c r="AG46" s="783"/>
      <c r="AH46" s="783"/>
      <c r="AI46" s="784"/>
    </row>
    <row r="47" spans="2:35" ht="23.1" customHeight="1">
      <c r="B47" s="80"/>
      <c r="C47" s="588">
        <v>12</v>
      </c>
      <c r="D47" s="410"/>
      <c r="E47" s="588"/>
      <c r="F47" s="588"/>
      <c r="G47" s="587"/>
      <c r="H47" s="588"/>
      <c r="I47" s="588"/>
      <c r="J47" s="588"/>
      <c r="K47" s="429"/>
      <c r="L47" s="429"/>
      <c r="M47" s="429"/>
      <c r="N47" s="429"/>
      <c r="O47" s="429"/>
      <c r="P47" s="1038"/>
      <c r="Q47" s="423">
        <f t="shared" si="2"/>
        <v>0</v>
      </c>
      <c r="R47" s="1029"/>
      <c r="S47" s="1030"/>
      <c r="T47" s="72"/>
      <c r="V47" s="795"/>
      <c r="W47" s="783"/>
      <c r="X47" s="783"/>
      <c r="Y47" s="783"/>
      <c r="Z47" s="783"/>
      <c r="AA47" s="783"/>
      <c r="AB47" s="783"/>
      <c r="AC47" s="783"/>
      <c r="AD47" s="783"/>
      <c r="AE47" s="783"/>
      <c r="AF47" s="783"/>
      <c r="AG47" s="783"/>
      <c r="AH47" s="783"/>
      <c r="AI47" s="784"/>
    </row>
    <row r="48" spans="2:35" ht="23.1" customHeight="1">
      <c r="B48" s="80"/>
      <c r="C48" s="588">
        <v>13</v>
      </c>
      <c r="D48" s="410"/>
      <c r="E48" s="588"/>
      <c r="F48" s="588"/>
      <c r="G48" s="587"/>
      <c r="H48" s="588"/>
      <c r="I48" s="588"/>
      <c r="J48" s="588"/>
      <c r="K48" s="429"/>
      <c r="L48" s="429"/>
      <c r="M48" s="429"/>
      <c r="N48" s="429"/>
      <c r="O48" s="429"/>
      <c r="P48" s="1038"/>
      <c r="Q48" s="423">
        <f t="shared" si="2"/>
        <v>0</v>
      </c>
      <c r="R48" s="1029"/>
      <c r="S48" s="1030"/>
      <c r="T48" s="72"/>
      <c r="V48" s="795"/>
      <c r="W48" s="783"/>
      <c r="X48" s="783"/>
      <c r="Y48" s="783"/>
      <c r="Z48" s="783"/>
      <c r="AA48" s="783"/>
      <c r="AB48" s="783"/>
      <c r="AC48" s="783"/>
      <c r="AD48" s="783"/>
      <c r="AE48" s="783"/>
      <c r="AF48" s="783"/>
      <c r="AG48" s="783"/>
      <c r="AH48" s="783"/>
      <c r="AI48" s="784"/>
    </row>
    <row r="49" spans="2:35" ht="23.1" customHeight="1">
      <c r="B49" s="80"/>
      <c r="C49" s="588">
        <v>14</v>
      </c>
      <c r="D49" s="410"/>
      <c r="E49" s="588"/>
      <c r="F49" s="588"/>
      <c r="G49" s="587"/>
      <c r="H49" s="588"/>
      <c r="I49" s="588"/>
      <c r="J49" s="588"/>
      <c r="K49" s="429"/>
      <c r="L49" s="429"/>
      <c r="M49" s="429"/>
      <c r="N49" s="429"/>
      <c r="O49" s="429"/>
      <c r="P49" s="1038"/>
      <c r="Q49" s="423">
        <f t="shared" si="2"/>
        <v>0</v>
      </c>
      <c r="R49" s="1029"/>
      <c r="S49" s="1030"/>
      <c r="T49" s="72"/>
      <c r="V49" s="795"/>
      <c r="W49" s="783"/>
      <c r="X49" s="783"/>
      <c r="Y49" s="783"/>
      <c r="Z49" s="783"/>
      <c r="AA49" s="783"/>
      <c r="AB49" s="783"/>
      <c r="AC49" s="783"/>
      <c r="AD49" s="783"/>
      <c r="AE49" s="783"/>
      <c r="AF49" s="783"/>
      <c r="AG49" s="783"/>
      <c r="AH49" s="783"/>
      <c r="AI49" s="784"/>
    </row>
    <row r="50" spans="2:35" ht="23.1" customHeight="1">
      <c r="B50" s="80"/>
      <c r="C50" s="588">
        <v>15</v>
      </c>
      <c r="D50" s="410"/>
      <c r="E50" s="588"/>
      <c r="F50" s="588"/>
      <c r="G50" s="587"/>
      <c r="H50" s="588"/>
      <c r="I50" s="588"/>
      <c r="J50" s="588"/>
      <c r="K50" s="429"/>
      <c r="L50" s="429"/>
      <c r="M50" s="429"/>
      <c r="N50" s="429"/>
      <c r="O50" s="429"/>
      <c r="P50" s="1038"/>
      <c r="Q50" s="423">
        <f t="shared" si="2"/>
        <v>0</v>
      </c>
      <c r="R50" s="1029"/>
      <c r="S50" s="1030"/>
      <c r="T50" s="72"/>
      <c r="V50" s="795"/>
      <c r="W50" s="783"/>
      <c r="X50" s="783"/>
      <c r="Y50" s="783"/>
      <c r="Z50" s="783"/>
      <c r="AA50" s="783"/>
      <c r="AB50" s="783"/>
      <c r="AC50" s="783"/>
      <c r="AD50" s="783"/>
      <c r="AE50" s="783"/>
      <c r="AF50" s="783"/>
      <c r="AG50" s="783"/>
      <c r="AH50" s="783"/>
      <c r="AI50" s="784"/>
    </row>
    <row r="51" spans="2:35" ht="23.1" customHeight="1" thickBot="1">
      <c r="B51" s="80"/>
      <c r="C51" s="597"/>
      <c r="D51" s="597"/>
      <c r="E51" s="150"/>
      <c r="F51" s="150"/>
      <c r="G51" s="150"/>
      <c r="H51" s="1408" t="s">
        <v>981</v>
      </c>
      <c r="I51" s="1409"/>
      <c r="J51" s="1410"/>
      <c r="K51" s="156">
        <f t="shared" ref="K51:S51" si="3">SUM(K36:K50)</f>
        <v>1500000</v>
      </c>
      <c r="L51" s="153">
        <f t="shared" si="3"/>
        <v>0</v>
      </c>
      <c r="M51" s="155">
        <f t="shared" si="3"/>
        <v>1500000</v>
      </c>
      <c r="N51" s="155">
        <f t="shared" si="3"/>
        <v>0</v>
      </c>
      <c r="O51" s="156">
        <f t="shared" si="3"/>
        <v>0</v>
      </c>
      <c r="P51" s="156">
        <f t="shared" si="3"/>
        <v>0</v>
      </c>
      <c r="Q51" s="424">
        <f t="shared" si="3"/>
        <v>1500000</v>
      </c>
      <c r="R51" s="155">
        <f t="shared" si="3"/>
        <v>0</v>
      </c>
      <c r="S51" s="119">
        <f t="shared" si="3"/>
        <v>1500000</v>
      </c>
      <c r="T51" s="72"/>
      <c r="V51" s="795"/>
      <c r="W51" s="783"/>
      <c r="X51" s="783"/>
      <c r="Y51" s="783"/>
      <c r="Z51" s="783"/>
      <c r="AA51" s="783"/>
      <c r="AB51" s="783"/>
      <c r="AC51" s="783"/>
      <c r="AD51" s="783"/>
      <c r="AE51" s="783"/>
      <c r="AF51" s="783"/>
      <c r="AG51" s="783"/>
      <c r="AH51" s="783"/>
      <c r="AI51" s="784"/>
    </row>
    <row r="52" spans="2:35" ht="23.1" customHeight="1">
      <c r="B52" s="80"/>
      <c r="C52" s="597"/>
      <c r="D52" s="597"/>
      <c r="E52" s="150"/>
      <c r="F52" s="150"/>
      <c r="G52" s="150"/>
      <c r="H52" s="354"/>
      <c r="I52" s="354"/>
      <c r="J52" s="354"/>
      <c r="K52" s="150"/>
      <c r="L52" s="150"/>
      <c r="M52" s="150"/>
      <c r="N52" s="150"/>
      <c r="O52" s="150"/>
      <c r="P52" s="150"/>
      <c r="Q52" s="150"/>
      <c r="R52" s="150"/>
      <c r="S52" s="150"/>
      <c r="T52" s="72"/>
      <c r="V52" s="795"/>
      <c r="W52" s="783"/>
      <c r="X52" s="783"/>
      <c r="Y52" s="783"/>
      <c r="Z52" s="783"/>
      <c r="AA52" s="783"/>
      <c r="AB52" s="783"/>
      <c r="AC52" s="783"/>
      <c r="AD52" s="783"/>
      <c r="AE52" s="783"/>
      <c r="AF52" s="783"/>
      <c r="AG52" s="783"/>
      <c r="AH52" s="783"/>
      <c r="AI52" s="784"/>
    </row>
    <row r="53" spans="2:35" ht="23.1" customHeight="1">
      <c r="B53" s="80"/>
      <c r="C53" s="38" t="s">
        <v>991</v>
      </c>
      <c r="D53" s="906"/>
      <c r="E53" s="64"/>
      <c r="F53" s="64"/>
      <c r="G53" s="64"/>
      <c r="H53" s="64"/>
      <c r="I53" s="64"/>
      <c r="J53" s="64"/>
      <c r="K53" s="64"/>
      <c r="L53" s="64"/>
      <c r="M53" s="64"/>
      <c r="N53" s="64"/>
      <c r="O53" s="64"/>
      <c r="P53" s="64"/>
      <c r="Q53" s="64"/>
      <c r="R53" s="64"/>
      <c r="S53" s="64"/>
      <c r="T53" s="72"/>
      <c r="V53" s="782"/>
      <c r="W53" s="783"/>
      <c r="X53" s="783"/>
      <c r="Y53" s="783"/>
      <c r="Z53" s="783"/>
      <c r="AA53" s="783"/>
      <c r="AB53" s="783"/>
      <c r="AC53" s="783"/>
      <c r="AD53" s="783"/>
      <c r="AE53" s="783"/>
      <c r="AF53" s="783"/>
      <c r="AG53" s="783"/>
      <c r="AH53" s="783"/>
      <c r="AI53" s="784"/>
    </row>
    <row r="54" spans="2:35" ht="23.1" customHeight="1">
      <c r="B54" s="80"/>
      <c r="C54" s="906"/>
      <c r="D54" s="906"/>
      <c r="E54" s="64"/>
      <c r="F54" s="64"/>
      <c r="G54" s="64"/>
      <c r="H54" s="64"/>
      <c r="I54" s="64"/>
      <c r="J54" s="64"/>
      <c r="K54" s="64"/>
      <c r="L54" s="64"/>
      <c r="M54" s="64"/>
      <c r="N54" s="64"/>
      <c r="O54" s="64"/>
      <c r="P54" s="64"/>
      <c r="Q54" s="64"/>
      <c r="R54" s="64"/>
      <c r="S54" s="64"/>
      <c r="T54" s="72"/>
      <c r="V54" s="782"/>
      <c r="W54" s="783"/>
      <c r="X54" s="783"/>
      <c r="Y54" s="783"/>
      <c r="Z54" s="783"/>
      <c r="AA54" s="783"/>
      <c r="AB54" s="783"/>
      <c r="AC54" s="783"/>
      <c r="AD54" s="783"/>
      <c r="AE54" s="783"/>
      <c r="AF54" s="783"/>
      <c r="AG54" s="783"/>
      <c r="AH54" s="783"/>
      <c r="AI54" s="784"/>
    </row>
    <row r="55" spans="2:35" ht="23.1" customHeight="1">
      <c r="B55" s="80"/>
      <c r="C55" s="624" t="s">
        <v>992</v>
      </c>
      <c r="D55" s="1043"/>
      <c r="E55" s="622"/>
      <c r="F55" s="622"/>
      <c r="G55" s="622"/>
      <c r="H55" s="622"/>
      <c r="I55" s="622"/>
      <c r="J55" s="622"/>
      <c r="K55" s="622"/>
      <c r="L55" s="622"/>
      <c r="M55" s="622"/>
      <c r="N55" s="622"/>
      <c r="O55" s="622"/>
      <c r="P55" s="622"/>
      <c r="Q55" s="622"/>
      <c r="R55" s="622"/>
      <c r="S55" s="623"/>
      <c r="T55" s="72"/>
      <c r="V55" s="782"/>
      <c r="W55" s="783"/>
      <c r="X55" s="783"/>
      <c r="Y55" s="783"/>
      <c r="Z55" s="783"/>
      <c r="AA55" s="783"/>
      <c r="AB55" s="783"/>
      <c r="AC55" s="783"/>
      <c r="AD55" s="783"/>
      <c r="AE55" s="783"/>
      <c r="AF55" s="783"/>
      <c r="AG55" s="783"/>
      <c r="AH55" s="783"/>
      <c r="AI55" s="784"/>
    </row>
    <row r="56" spans="2:35" ht="62.1" customHeight="1">
      <c r="B56" s="80"/>
      <c r="C56" s="134" t="s">
        <v>960</v>
      </c>
      <c r="D56" s="159" t="s">
        <v>961</v>
      </c>
      <c r="E56" s="134" t="s">
        <v>962</v>
      </c>
      <c r="F56" s="134" t="s">
        <v>962</v>
      </c>
      <c r="G56" s="134" t="s">
        <v>922</v>
      </c>
      <c r="H56" s="134" t="s">
        <v>963</v>
      </c>
      <c r="I56" s="134" t="s">
        <v>964</v>
      </c>
      <c r="J56" s="134" t="s">
        <v>965</v>
      </c>
      <c r="K56" s="134" t="s">
        <v>966</v>
      </c>
      <c r="L56" s="134" t="s">
        <v>652</v>
      </c>
      <c r="M56" s="831" t="s">
        <v>983</v>
      </c>
      <c r="N56" s="832" t="s">
        <v>984</v>
      </c>
      <c r="O56" s="621" t="s">
        <v>993</v>
      </c>
      <c r="P56" s="420" t="s">
        <v>985</v>
      </c>
      <c r="Q56" s="134" t="s">
        <v>652</v>
      </c>
      <c r="R56" s="1369" t="s">
        <v>971</v>
      </c>
      <c r="S56" s="1370"/>
      <c r="T56" s="72"/>
      <c r="V56" s="782"/>
      <c r="W56" s="783"/>
      <c r="X56" s="783"/>
      <c r="Y56" s="783"/>
      <c r="Z56" s="783"/>
      <c r="AA56" s="783"/>
      <c r="AB56" s="783"/>
      <c r="AC56" s="783"/>
      <c r="AD56" s="783"/>
      <c r="AE56" s="783"/>
      <c r="AF56" s="783"/>
      <c r="AG56" s="783"/>
      <c r="AH56" s="783"/>
      <c r="AI56" s="784"/>
    </row>
    <row r="57" spans="2:35" ht="23.1" customHeight="1">
      <c r="B57" s="80"/>
      <c r="C57" s="163" t="s">
        <v>972</v>
      </c>
      <c r="D57" s="164" t="s">
        <v>972</v>
      </c>
      <c r="E57" s="163" t="s">
        <v>986</v>
      </c>
      <c r="F57" s="163" t="s">
        <v>974</v>
      </c>
      <c r="G57" s="163" t="s">
        <v>987</v>
      </c>
      <c r="H57" s="163" t="s">
        <v>975</v>
      </c>
      <c r="I57" s="625" t="s">
        <v>976</v>
      </c>
      <c r="J57" s="163" t="s">
        <v>977</v>
      </c>
      <c r="K57" s="163" t="s">
        <v>988</v>
      </c>
      <c r="L57" s="163">
        <f>ejercicio-1</f>
        <v>2024</v>
      </c>
      <c r="M57" s="163">
        <f>ejercicio</f>
        <v>2025</v>
      </c>
      <c r="N57" s="163">
        <f>ejercicio</f>
        <v>2025</v>
      </c>
      <c r="O57" s="163">
        <f>ejercicio</f>
        <v>2025</v>
      </c>
      <c r="P57" s="163">
        <f>ejercicio</f>
        <v>2025</v>
      </c>
      <c r="Q57" s="163">
        <f>ejercicio</f>
        <v>2025</v>
      </c>
      <c r="R57" s="421" t="s">
        <v>979</v>
      </c>
      <c r="S57" s="422" t="s">
        <v>980</v>
      </c>
      <c r="T57" s="72"/>
      <c r="V57" s="782"/>
      <c r="W57" s="783"/>
      <c r="X57" s="783"/>
      <c r="Y57" s="783"/>
      <c r="Z57" s="783"/>
      <c r="AA57" s="783"/>
      <c r="AB57" s="783"/>
      <c r="AC57" s="783"/>
      <c r="AD57" s="783"/>
      <c r="AE57" s="783"/>
      <c r="AF57" s="783"/>
      <c r="AG57" s="783"/>
      <c r="AH57" s="783"/>
      <c r="AI57" s="784"/>
    </row>
    <row r="58" spans="2:35" ht="23.1" customHeight="1">
      <c r="B58" s="80"/>
      <c r="C58" s="588">
        <v>1</v>
      </c>
      <c r="D58" s="410" t="s">
        <v>994</v>
      </c>
      <c r="E58" s="588"/>
      <c r="F58" s="588"/>
      <c r="G58" s="587"/>
      <c r="H58" s="588">
        <v>1850</v>
      </c>
      <c r="I58" s="588"/>
      <c r="J58" s="588"/>
      <c r="K58" s="429"/>
      <c r="L58" s="429">
        <f>+'FC-4_PASIVO'!G56</f>
        <v>601706.59</v>
      </c>
      <c r="M58" s="921">
        <v>15042.66</v>
      </c>
      <c r="N58" s="921"/>
      <c r="O58" s="921"/>
      <c r="P58" s="1038"/>
      <c r="Q58" s="423">
        <f>L58+M58+N58+O58</f>
        <v>616749.25</v>
      </c>
      <c r="R58" s="1027"/>
      <c r="S58" s="1028">
        <v>616749.25</v>
      </c>
      <c r="T58" s="72"/>
      <c r="V58" s="782"/>
      <c r="W58" s="783"/>
      <c r="X58" s="783"/>
      <c r="Y58" s="783"/>
      <c r="Z58" s="783"/>
      <c r="AA58" s="783"/>
      <c r="AB58" s="783"/>
      <c r="AC58" s="783"/>
      <c r="AD58" s="783"/>
      <c r="AE58" s="783"/>
      <c r="AF58" s="783"/>
      <c r="AG58" s="783"/>
      <c r="AH58" s="783"/>
      <c r="AI58" s="784"/>
    </row>
    <row r="59" spans="2:35" ht="23.1" customHeight="1">
      <c r="B59" s="80"/>
      <c r="C59" s="588">
        <v>2</v>
      </c>
      <c r="D59" s="410" t="s">
        <v>995</v>
      </c>
      <c r="E59" s="588"/>
      <c r="F59" s="588"/>
      <c r="G59" s="587"/>
      <c r="H59" s="588">
        <v>565</v>
      </c>
      <c r="I59" s="588"/>
      <c r="J59" s="588"/>
      <c r="K59" s="429"/>
      <c r="L59" s="429">
        <v>39126.42</v>
      </c>
      <c r="M59" s="429"/>
      <c r="N59" s="429"/>
      <c r="O59" s="429"/>
      <c r="P59" s="1038"/>
      <c r="Q59" s="423">
        <f t="shared" ref="Q59:Q72" si="4">L59+M59+N59+O59</f>
        <v>39126.42</v>
      </c>
      <c r="R59" s="1029">
        <v>39126.42</v>
      </c>
      <c r="S59" s="1030"/>
      <c r="T59" s="72"/>
      <c r="V59" s="782"/>
      <c r="W59" s="783"/>
      <c r="X59" s="783"/>
      <c r="Y59" s="783"/>
      <c r="Z59" s="783"/>
      <c r="AA59" s="783"/>
      <c r="AB59" s="783"/>
      <c r="AC59" s="783"/>
      <c r="AD59" s="783"/>
      <c r="AE59" s="783"/>
      <c r="AF59" s="783"/>
      <c r="AG59" s="783"/>
      <c r="AH59" s="783"/>
      <c r="AI59" s="784"/>
    </row>
    <row r="60" spans="2:35" ht="23.1" customHeight="1">
      <c r="B60" s="80"/>
      <c r="C60" s="588">
        <v>3</v>
      </c>
      <c r="D60" s="410"/>
      <c r="E60" s="588" t="s">
        <v>769</v>
      </c>
      <c r="F60" s="588"/>
      <c r="G60" s="587"/>
      <c r="H60" s="588"/>
      <c r="I60" s="588"/>
      <c r="J60" s="588"/>
      <c r="K60" s="429"/>
      <c r="L60" s="429"/>
      <c r="M60" s="429"/>
      <c r="N60" s="429"/>
      <c r="O60" s="429"/>
      <c r="P60" s="1038"/>
      <c r="Q60" s="423">
        <f t="shared" si="4"/>
        <v>0</v>
      </c>
      <c r="R60" s="1029"/>
      <c r="S60" s="1030"/>
      <c r="T60" s="72"/>
      <c r="V60" s="782"/>
      <c r="W60" s="783"/>
      <c r="X60" s="783"/>
      <c r="Y60" s="783"/>
      <c r="Z60" s="783"/>
      <c r="AA60" s="783"/>
      <c r="AB60" s="783"/>
      <c r="AC60" s="783"/>
      <c r="AD60" s="783"/>
      <c r="AE60" s="783"/>
      <c r="AF60" s="783"/>
      <c r="AG60" s="783"/>
      <c r="AH60" s="783"/>
      <c r="AI60" s="784"/>
    </row>
    <row r="61" spans="2:35" ht="23.1" customHeight="1">
      <c r="B61" s="80"/>
      <c r="C61" s="588">
        <v>4</v>
      </c>
      <c r="D61" s="410"/>
      <c r="E61" s="588"/>
      <c r="F61" s="588"/>
      <c r="G61" s="587"/>
      <c r="H61" s="588"/>
      <c r="I61" s="588"/>
      <c r="J61" s="588"/>
      <c r="K61" s="429"/>
      <c r="L61" s="429"/>
      <c r="M61" s="429"/>
      <c r="N61" s="429"/>
      <c r="O61" s="429"/>
      <c r="P61" s="1038"/>
      <c r="Q61" s="423">
        <f t="shared" si="4"/>
        <v>0</v>
      </c>
      <c r="R61" s="1029"/>
      <c r="S61" s="1030"/>
      <c r="T61" s="72"/>
      <c r="V61" s="782"/>
      <c r="W61" s="783"/>
      <c r="X61" s="783"/>
      <c r="Y61" s="783"/>
      <c r="Z61" s="783"/>
      <c r="AA61" s="783"/>
      <c r="AB61" s="783"/>
      <c r="AC61" s="783"/>
      <c r="AD61" s="783"/>
      <c r="AE61" s="783"/>
      <c r="AF61" s="783"/>
      <c r="AG61" s="783"/>
      <c r="AH61" s="783"/>
      <c r="AI61" s="784"/>
    </row>
    <row r="62" spans="2:35" ht="23.1" customHeight="1">
      <c r="B62" s="80"/>
      <c r="C62" s="588">
        <v>5</v>
      </c>
      <c r="D62" s="410"/>
      <c r="E62" s="588"/>
      <c r="F62" s="588"/>
      <c r="G62" s="587"/>
      <c r="H62" s="588"/>
      <c r="I62" s="588"/>
      <c r="J62" s="588"/>
      <c r="K62" s="429"/>
      <c r="L62" s="429"/>
      <c r="M62" s="429"/>
      <c r="N62" s="429"/>
      <c r="O62" s="429"/>
      <c r="P62" s="1038"/>
      <c r="Q62" s="423">
        <f t="shared" si="4"/>
        <v>0</v>
      </c>
      <c r="R62" s="1029"/>
      <c r="S62" s="1030"/>
      <c r="T62" s="72"/>
      <c r="V62" s="782"/>
      <c r="W62" s="783"/>
      <c r="X62" s="783"/>
      <c r="Y62" s="783"/>
      <c r="Z62" s="783"/>
      <c r="AA62" s="783"/>
      <c r="AB62" s="783"/>
      <c r="AC62" s="783"/>
      <c r="AD62" s="783"/>
      <c r="AE62" s="783"/>
      <c r="AF62" s="783"/>
      <c r="AG62" s="783"/>
      <c r="AH62" s="783"/>
      <c r="AI62" s="784"/>
    </row>
    <row r="63" spans="2:35" ht="23.1" customHeight="1">
      <c r="B63" s="80"/>
      <c r="C63" s="588">
        <v>6</v>
      </c>
      <c r="D63" s="410"/>
      <c r="E63" s="588"/>
      <c r="F63" s="588"/>
      <c r="G63" s="587"/>
      <c r="H63" s="588"/>
      <c r="I63" s="588"/>
      <c r="J63" s="588"/>
      <c r="K63" s="429"/>
      <c r="L63" s="429"/>
      <c r="M63" s="429"/>
      <c r="N63" s="429"/>
      <c r="O63" s="429"/>
      <c r="P63" s="1038"/>
      <c r="Q63" s="423">
        <f t="shared" si="4"/>
        <v>0</v>
      </c>
      <c r="R63" s="1029"/>
      <c r="S63" s="1030"/>
      <c r="T63" s="72"/>
      <c r="V63" s="782"/>
      <c r="W63" s="783"/>
      <c r="X63" s="783"/>
      <c r="Y63" s="783"/>
      <c r="Z63" s="783"/>
      <c r="AA63" s="783"/>
      <c r="AB63" s="783"/>
      <c r="AC63" s="783"/>
      <c r="AD63" s="783"/>
      <c r="AE63" s="783"/>
      <c r="AF63" s="783"/>
      <c r="AG63" s="783"/>
      <c r="AH63" s="783"/>
      <c r="AI63" s="784"/>
    </row>
    <row r="64" spans="2:35" ht="23.1" customHeight="1">
      <c r="B64" s="80"/>
      <c r="C64" s="588">
        <v>7</v>
      </c>
      <c r="D64" s="410"/>
      <c r="E64" s="588"/>
      <c r="F64" s="588"/>
      <c r="G64" s="587"/>
      <c r="H64" s="588"/>
      <c r="I64" s="588"/>
      <c r="J64" s="588"/>
      <c r="K64" s="429"/>
      <c r="L64" s="429"/>
      <c r="M64" s="429"/>
      <c r="N64" s="429"/>
      <c r="O64" s="429"/>
      <c r="P64" s="1038"/>
      <c r="Q64" s="423">
        <f t="shared" si="4"/>
        <v>0</v>
      </c>
      <c r="R64" s="1029"/>
      <c r="S64" s="1030"/>
      <c r="T64" s="72"/>
      <c r="V64" s="782"/>
      <c r="W64" s="783"/>
      <c r="X64" s="783"/>
      <c r="Y64" s="783"/>
      <c r="Z64" s="783"/>
      <c r="AA64" s="783"/>
      <c r="AB64" s="783"/>
      <c r="AC64" s="783"/>
      <c r="AD64" s="783"/>
      <c r="AE64" s="783"/>
      <c r="AF64" s="783"/>
      <c r="AG64" s="783"/>
      <c r="AH64" s="783"/>
      <c r="AI64" s="784"/>
    </row>
    <row r="65" spans="2:35" ht="23.1" customHeight="1">
      <c r="B65" s="80"/>
      <c r="C65" s="588">
        <v>8</v>
      </c>
      <c r="D65" s="410"/>
      <c r="E65" s="588"/>
      <c r="F65" s="588"/>
      <c r="G65" s="587"/>
      <c r="H65" s="588"/>
      <c r="I65" s="588"/>
      <c r="J65" s="588"/>
      <c r="K65" s="429"/>
      <c r="L65" s="429"/>
      <c r="M65" s="429"/>
      <c r="N65" s="429"/>
      <c r="O65" s="429"/>
      <c r="P65" s="1038"/>
      <c r="Q65" s="423">
        <f t="shared" si="4"/>
        <v>0</v>
      </c>
      <c r="R65" s="1029"/>
      <c r="S65" s="1030"/>
      <c r="T65" s="72"/>
      <c r="V65" s="782"/>
      <c r="W65" s="783"/>
      <c r="X65" s="783"/>
      <c r="Y65" s="783"/>
      <c r="Z65" s="783"/>
      <c r="AA65" s="783"/>
      <c r="AB65" s="783"/>
      <c r="AC65" s="783"/>
      <c r="AD65" s="783"/>
      <c r="AE65" s="783"/>
      <c r="AF65" s="783"/>
      <c r="AG65" s="783"/>
      <c r="AH65" s="783"/>
      <c r="AI65" s="784"/>
    </row>
    <row r="66" spans="2:35" ht="23.1" customHeight="1">
      <c r="B66" s="80"/>
      <c r="C66" s="588">
        <v>9</v>
      </c>
      <c r="D66" s="410"/>
      <c r="E66" s="588"/>
      <c r="F66" s="588"/>
      <c r="G66" s="587"/>
      <c r="H66" s="588"/>
      <c r="I66" s="588"/>
      <c r="J66" s="588"/>
      <c r="K66" s="429"/>
      <c r="L66" s="429"/>
      <c r="M66" s="429"/>
      <c r="N66" s="429"/>
      <c r="O66" s="429"/>
      <c r="P66" s="1038"/>
      <c r="Q66" s="423">
        <f t="shared" si="4"/>
        <v>0</v>
      </c>
      <c r="R66" s="1029"/>
      <c r="S66" s="1030"/>
      <c r="T66" s="72"/>
      <c r="V66" s="782"/>
      <c r="W66" s="783"/>
      <c r="X66" s="783"/>
      <c r="Y66" s="783"/>
      <c r="Z66" s="783"/>
      <c r="AA66" s="783"/>
      <c r="AB66" s="783"/>
      <c r="AC66" s="783"/>
      <c r="AD66" s="783"/>
      <c r="AE66" s="783"/>
      <c r="AF66" s="783"/>
      <c r="AG66" s="783"/>
      <c r="AH66" s="783"/>
      <c r="AI66" s="784"/>
    </row>
    <row r="67" spans="2:35" ht="23.1" customHeight="1">
      <c r="B67" s="80"/>
      <c r="C67" s="588">
        <v>10</v>
      </c>
      <c r="D67" s="410"/>
      <c r="E67" s="588"/>
      <c r="F67" s="588"/>
      <c r="G67" s="587"/>
      <c r="H67" s="588"/>
      <c r="I67" s="588"/>
      <c r="J67" s="588"/>
      <c r="K67" s="429"/>
      <c r="L67" s="429"/>
      <c r="M67" s="429"/>
      <c r="N67" s="429"/>
      <c r="O67" s="429"/>
      <c r="P67" s="1038"/>
      <c r="Q67" s="423">
        <f t="shared" si="4"/>
        <v>0</v>
      </c>
      <c r="R67" s="1029"/>
      <c r="S67" s="1030"/>
      <c r="T67" s="72"/>
      <c r="V67" s="782"/>
      <c r="W67" s="783"/>
      <c r="X67" s="783"/>
      <c r="Y67" s="783"/>
      <c r="Z67" s="783"/>
      <c r="AA67" s="783"/>
      <c r="AB67" s="783"/>
      <c r="AC67" s="783"/>
      <c r="AD67" s="783"/>
      <c r="AE67" s="783"/>
      <c r="AF67" s="783"/>
      <c r="AG67" s="783"/>
      <c r="AH67" s="783"/>
      <c r="AI67" s="784"/>
    </row>
    <row r="68" spans="2:35" ht="23.1" customHeight="1">
      <c r="B68" s="80"/>
      <c r="C68" s="588">
        <v>11</v>
      </c>
      <c r="D68" s="410"/>
      <c r="E68" s="588"/>
      <c r="F68" s="588"/>
      <c r="G68" s="587"/>
      <c r="H68" s="588"/>
      <c r="I68" s="588"/>
      <c r="J68" s="588"/>
      <c r="K68" s="429"/>
      <c r="L68" s="429"/>
      <c r="M68" s="429"/>
      <c r="N68" s="429"/>
      <c r="O68" s="429"/>
      <c r="P68" s="1038"/>
      <c r="Q68" s="423">
        <f t="shared" si="4"/>
        <v>0</v>
      </c>
      <c r="R68" s="1029"/>
      <c r="S68" s="1030"/>
      <c r="T68" s="72"/>
      <c r="V68" s="782"/>
      <c r="W68" s="783"/>
      <c r="X68" s="783"/>
      <c r="Y68" s="783"/>
      <c r="Z68" s="783"/>
      <c r="AA68" s="783"/>
      <c r="AB68" s="783"/>
      <c r="AC68" s="783"/>
      <c r="AD68" s="783"/>
      <c r="AE68" s="783"/>
      <c r="AF68" s="783"/>
      <c r="AG68" s="783"/>
      <c r="AH68" s="783"/>
      <c r="AI68" s="784"/>
    </row>
    <row r="69" spans="2:35" ht="23.1" customHeight="1">
      <c r="B69" s="80"/>
      <c r="C69" s="588">
        <v>12</v>
      </c>
      <c r="D69" s="410"/>
      <c r="E69" s="588"/>
      <c r="F69" s="588"/>
      <c r="G69" s="587"/>
      <c r="H69" s="588"/>
      <c r="I69" s="588"/>
      <c r="J69" s="588"/>
      <c r="K69" s="429"/>
      <c r="L69" s="429"/>
      <c r="M69" s="429"/>
      <c r="N69" s="429"/>
      <c r="O69" s="429"/>
      <c r="P69" s="1038"/>
      <c r="Q69" s="423">
        <f t="shared" si="4"/>
        <v>0</v>
      </c>
      <c r="R69" s="1029"/>
      <c r="S69" s="1030"/>
      <c r="T69" s="72"/>
      <c r="V69" s="782"/>
      <c r="W69" s="783"/>
      <c r="X69" s="783"/>
      <c r="Y69" s="783"/>
      <c r="Z69" s="783"/>
      <c r="AA69" s="783"/>
      <c r="AB69" s="783"/>
      <c r="AC69" s="783"/>
      <c r="AD69" s="783"/>
      <c r="AE69" s="783"/>
      <c r="AF69" s="783"/>
      <c r="AG69" s="783"/>
      <c r="AH69" s="783"/>
      <c r="AI69" s="784"/>
    </row>
    <row r="70" spans="2:35" ht="23.1" customHeight="1">
      <c r="B70" s="80"/>
      <c r="C70" s="588">
        <v>13</v>
      </c>
      <c r="D70" s="410"/>
      <c r="E70" s="588"/>
      <c r="F70" s="588"/>
      <c r="G70" s="587"/>
      <c r="H70" s="588"/>
      <c r="I70" s="588"/>
      <c r="J70" s="588"/>
      <c r="K70" s="429"/>
      <c r="L70" s="429"/>
      <c r="M70" s="429"/>
      <c r="N70" s="429"/>
      <c r="O70" s="429"/>
      <c r="P70" s="1038"/>
      <c r="Q70" s="423">
        <f t="shared" si="4"/>
        <v>0</v>
      </c>
      <c r="R70" s="1029"/>
      <c r="S70" s="1030"/>
      <c r="T70" s="72"/>
      <c r="V70" s="782"/>
      <c r="W70" s="783"/>
      <c r="X70" s="783"/>
      <c r="Y70" s="783"/>
      <c r="Z70" s="783"/>
      <c r="AA70" s="783"/>
      <c r="AB70" s="783"/>
      <c r="AC70" s="783"/>
      <c r="AD70" s="783"/>
      <c r="AE70" s="783"/>
      <c r="AF70" s="783"/>
      <c r="AG70" s="783"/>
      <c r="AH70" s="783"/>
      <c r="AI70" s="784"/>
    </row>
    <row r="71" spans="2:35" ht="23.1" customHeight="1">
      <c r="B71" s="80"/>
      <c r="C71" s="588">
        <v>14</v>
      </c>
      <c r="D71" s="410"/>
      <c r="E71" s="588"/>
      <c r="F71" s="588"/>
      <c r="G71" s="587"/>
      <c r="H71" s="588"/>
      <c r="I71" s="588"/>
      <c r="J71" s="588"/>
      <c r="K71" s="429"/>
      <c r="L71" s="429"/>
      <c r="M71" s="429"/>
      <c r="N71" s="429"/>
      <c r="O71" s="429"/>
      <c r="P71" s="1038"/>
      <c r="Q71" s="423">
        <f t="shared" si="4"/>
        <v>0</v>
      </c>
      <c r="R71" s="1029"/>
      <c r="S71" s="1030"/>
      <c r="T71" s="72"/>
      <c r="V71" s="782"/>
      <c r="W71" s="783"/>
      <c r="X71" s="783"/>
      <c r="Y71" s="783"/>
      <c r="Z71" s="783"/>
      <c r="AA71" s="783"/>
      <c r="AB71" s="783"/>
      <c r="AC71" s="783"/>
      <c r="AD71" s="783"/>
      <c r="AE71" s="783"/>
      <c r="AF71" s="783"/>
      <c r="AG71" s="783"/>
      <c r="AH71" s="783"/>
      <c r="AI71" s="784"/>
    </row>
    <row r="72" spans="2:35" ht="23.1" customHeight="1">
      <c r="B72" s="80"/>
      <c r="C72" s="588">
        <v>15</v>
      </c>
      <c r="D72" s="410"/>
      <c r="E72" s="588"/>
      <c r="F72" s="588"/>
      <c r="G72" s="587"/>
      <c r="H72" s="588"/>
      <c r="I72" s="588"/>
      <c r="J72" s="588"/>
      <c r="K72" s="429"/>
      <c r="L72" s="429"/>
      <c r="M72" s="429"/>
      <c r="N72" s="429"/>
      <c r="O72" s="429"/>
      <c r="P72" s="1038"/>
      <c r="Q72" s="423">
        <f t="shared" si="4"/>
        <v>0</v>
      </c>
      <c r="R72" s="1029"/>
      <c r="S72" s="1030"/>
      <c r="T72" s="72"/>
      <c r="V72" s="782"/>
      <c r="W72" s="783"/>
      <c r="X72" s="783"/>
      <c r="Y72" s="783"/>
      <c r="Z72" s="783"/>
      <c r="AA72" s="783"/>
      <c r="AB72" s="783"/>
      <c r="AC72" s="783"/>
      <c r="AD72" s="783"/>
      <c r="AE72" s="783"/>
      <c r="AF72" s="783"/>
      <c r="AG72" s="783"/>
      <c r="AH72" s="783"/>
      <c r="AI72" s="784"/>
    </row>
    <row r="73" spans="2:35" ht="23.1" customHeight="1" thickBot="1">
      <c r="B73" s="80"/>
      <c r="C73" s="597"/>
      <c r="D73" s="597"/>
      <c r="E73" s="150"/>
      <c r="F73" s="150"/>
      <c r="G73" s="150"/>
      <c r="H73" s="1408" t="s">
        <v>996</v>
      </c>
      <c r="I73" s="1409"/>
      <c r="J73" s="1410"/>
      <c r="K73" s="156">
        <f t="shared" ref="K73:S73" si="5">SUM(K58:K72)</f>
        <v>0</v>
      </c>
      <c r="L73" s="156">
        <f t="shared" si="5"/>
        <v>640833.01</v>
      </c>
      <c r="M73" s="156">
        <f t="shared" si="5"/>
        <v>15042.66</v>
      </c>
      <c r="N73" s="156">
        <f t="shared" si="5"/>
        <v>0</v>
      </c>
      <c r="O73" s="156">
        <f t="shared" si="5"/>
        <v>0</v>
      </c>
      <c r="P73" s="156">
        <f t="shared" si="5"/>
        <v>0</v>
      </c>
      <c r="Q73" s="424">
        <f t="shared" si="5"/>
        <v>655875.67000000004</v>
      </c>
      <c r="R73" s="156">
        <f t="shared" si="5"/>
        <v>39126.42</v>
      </c>
      <c r="S73" s="156">
        <f t="shared" si="5"/>
        <v>616749.25</v>
      </c>
      <c r="T73" s="72"/>
      <c r="V73" s="782"/>
      <c r="W73" s="783"/>
      <c r="X73" s="783"/>
      <c r="Y73" s="783"/>
      <c r="Z73" s="783"/>
      <c r="AA73" s="783"/>
      <c r="AB73" s="783"/>
      <c r="AC73" s="783"/>
      <c r="AD73" s="783"/>
      <c r="AE73" s="783"/>
      <c r="AF73" s="783"/>
      <c r="AG73" s="783"/>
      <c r="AH73" s="783"/>
      <c r="AI73" s="784"/>
    </row>
    <row r="74" spans="2:35" ht="23.1" customHeight="1">
      <c r="B74" s="80"/>
      <c r="C74" s="597"/>
      <c r="D74" s="597"/>
      <c r="E74" s="150"/>
      <c r="F74" s="150"/>
      <c r="G74" s="150"/>
      <c r="H74" s="354"/>
      <c r="I74" s="354"/>
      <c r="J74" s="354"/>
      <c r="K74" s="150"/>
      <c r="L74" s="150"/>
      <c r="M74" s="150"/>
      <c r="N74" s="150"/>
      <c r="O74" s="150"/>
      <c r="P74" s="150"/>
      <c r="Q74" s="150"/>
      <c r="R74" s="150"/>
      <c r="S74" s="150"/>
      <c r="T74" s="72"/>
      <c r="V74" s="782"/>
      <c r="W74" s="783"/>
      <c r="X74" s="783"/>
      <c r="Y74" s="783"/>
      <c r="Z74" s="783"/>
      <c r="AA74" s="783"/>
      <c r="AB74" s="783"/>
      <c r="AC74" s="783"/>
      <c r="AD74" s="783"/>
      <c r="AE74" s="783"/>
      <c r="AF74" s="783"/>
      <c r="AG74" s="783"/>
      <c r="AH74" s="783"/>
      <c r="AI74" s="784"/>
    </row>
    <row r="75" spans="2:35" ht="23.1" customHeight="1">
      <c r="B75" s="80"/>
      <c r="C75" s="38" t="s">
        <v>997</v>
      </c>
      <c r="D75" s="906"/>
      <c r="E75" s="64"/>
      <c r="F75" s="64"/>
      <c r="G75" s="64"/>
      <c r="H75" s="64"/>
      <c r="I75" s="64"/>
      <c r="J75" s="64"/>
      <c r="K75" s="64"/>
      <c r="L75" s="64"/>
      <c r="M75" s="64"/>
      <c r="N75" s="64"/>
      <c r="O75" s="64"/>
      <c r="P75" s="64"/>
      <c r="Q75" s="64"/>
      <c r="R75" s="64"/>
      <c r="S75" s="64"/>
      <c r="T75" s="72"/>
      <c r="V75" s="782"/>
      <c r="W75" s="783"/>
      <c r="X75" s="783"/>
      <c r="Y75" s="783"/>
      <c r="Z75" s="783"/>
      <c r="AA75" s="783"/>
      <c r="AB75" s="783"/>
      <c r="AC75" s="783"/>
      <c r="AD75" s="783"/>
      <c r="AE75" s="783"/>
      <c r="AF75" s="783"/>
      <c r="AG75" s="783"/>
      <c r="AH75" s="783"/>
      <c r="AI75" s="784"/>
    </row>
    <row r="76" spans="2:35" ht="23.1" customHeight="1">
      <c r="B76" s="80"/>
      <c r="C76" s="906"/>
      <c r="D76" s="906"/>
      <c r="E76" s="64"/>
      <c r="F76" s="64"/>
      <c r="G76" s="64"/>
      <c r="H76" s="64"/>
      <c r="I76" s="64"/>
      <c r="J76" s="64"/>
      <c r="K76" s="64"/>
      <c r="L76" s="64"/>
      <c r="M76" s="64"/>
      <c r="N76" s="64"/>
      <c r="O76" s="64"/>
      <c r="P76" s="64"/>
      <c r="Q76" s="64"/>
      <c r="R76" s="64"/>
      <c r="S76" s="64"/>
      <c r="T76" s="72"/>
      <c r="V76" s="782"/>
      <c r="W76" s="783"/>
      <c r="X76" s="783"/>
      <c r="Y76" s="783"/>
      <c r="Z76" s="783"/>
      <c r="AA76" s="783"/>
      <c r="AB76" s="783"/>
      <c r="AC76" s="783"/>
      <c r="AD76" s="783"/>
      <c r="AE76" s="783"/>
      <c r="AF76" s="783"/>
      <c r="AG76" s="783"/>
      <c r="AH76" s="783"/>
      <c r="AI76" s="784"/>
    </row>
    <row r="77" spans="2:35" ht="23.1" customHeight="1">
      <c r="B77" s="80"/>
      <c r="C77" s="906"/>
      <c r="D77" s="906"/>
      <c r="E77" s="64"/>
      <c r="F77" s="64"/>
      <c r="G77" s="64"/>
      <c r="H77" s="64"/>
      <c r="I77" s="64"/>
      <c r="J77" s="64"/>
      <c r="K77" s="64"/>
      <c r="L77" s="64"/>
      <c r="M77" s="64"/>
      <c r="N77" s="64"/>
      <c r="O77" s="64"/>
      <c r="P77" s="64"/>
      <c r="Q77" s="64"/>
      <c r="R77" s="64"/>
      <c r="S77" s="64"/>
      <c r="T77" s="72"/>
      <c r="V77" s="782"/>
      <c r="W77" s="783"/>
      <c r="X77" s="783"/>
      <c r="Y77" s="783"/>
      <c r="Z77" s="783"/>
      <c r="AA77" s="783"/>
      <c r="AB77" s="783"/>
      <c r="AC77" s="783"/>
      <c r="AD77" s="783"/>
      <c r="AE77" s="783"/>
      <c r="AF77" s="783"/>
      <c r="AG77" s="783"/>
      <c r="AH77" s="783"/>
      <c r="AI77" s="784"/>
    </row>
    <row r="78" spans="2:35" ht="38.1" customHeight="1">
      <c r="B78" s="80"/>
      <c r="C78" s="134" t="s">
        <v>960</v>
      </c>
      <c r="D78" s="159" t="s">
        <v>961</v>
      </c>
      <c r="E78" s="134" t="s">
        <v>962</v>
      </c>
      <c r="F78" s="134" t="s">
        <v>962</v>
      </c>
      <c r="G78" s="134" t="s">
        <v>922</v>
      </c>
      <c r="H78" s="134" t="s">
        <v>963</v>
      </c>
      <c r="I78" s="134" t="s">
        <v>964</v>
      </c>
      <c r="J78" s="134" t="s">
        <v>965</v>
      </c>
      <c r="K78" s="134" t="s">
        <v>966</v>
      </c>
      <c r="L78" s="134" t="s">
        <v>652</v>
      </c>
      <c r="M78" s="831" t="s">
        <v>983</v>
      </c>
      <c r="N78" s="832" t="s">
        <v>984</v>
      </c>
      <c r="O78" s="134" t="s">
        <v>969</v>
      </c>
      <c r="P78" s="420" t="s">
        <v>985</v>
      </c>
      <c r="Q78" s="134" t="s">
        <v>652</v>
      </c>
      <c r="R78" s="1369" t="s">
        <v>971</v>
      </c>
      <c r="S78" s="1370"/>
      <c r="T78" s="72"/>
      <c r="V78" s="782"/>
      <c r="W78" s="783"/>
      <c r="X78" s="783"/>
      <c r="Y78" s="783"/>
      <c r="Z78" s="783"/>
      <c r="AA78" s="783"/>
      <c r="AB78" s="783"/>
      <c r="AC78" s="783"/>
      <c r="AD78" s="783"/>
      <c r="AE78" s="783"/>
      <c r="AF78" s="783"/>
      <c r="AG78" s="783"/>
      <c r="AH78" s="783"/>
      <c r="AI78" s="784"/>
    </row>
    <row r="79" spans="2:35" ht="23.1" customHeight="1">
      <c r="B79" s="80"/>
      <c r="C79" s="163" t="s">
        <v>972</v>
      </c>
      <c r="D79" s="164" t="s">
        <v>972</v>
      </c>
      <c r="E79" s="163" t="s">
        <v>986</v>
      </c>
      <c r="F79" s="163" t="s">
        <v>974</v>
      </c>
      <c r="G79" s="163" t="s">
        <v>998</v>
      </c>
      <c r="H79" s="163" t="s">
        <v>975</v>
      </c>
      <c r="I79" s="163" t="s">
        <v>999</v>
      </c>
      <c r="J79" s="163" t="s">
        <v>977</v>
      </c>
      <c r="K79" s="163" t="s">
        <v>988</v>
      </c>
      <c r="L79" s="163">
        <f>ejercicio-1</f>
        <v>2024</v>
      </c>
      <c r="M79" s="163">
        <f>ejercicio</f>
        <v>2025</v>
      </c>
      <c r="N79" s="163">
        <f>ejercicio</f>
        <v>2025</v>
      </c>
      <c r="O79" s="163">
        <f>ejercicio</f>
        <v>2025</v>
      </c>
      <c r="P79" s="163">
        <f>ejercicio</f>
        <v>2025</v>
      </c>
      <c r="Q79" s="163">
        <f>ejercicio</f>
        <v>2025</v>
      </c>
      <c r="R79" s="421" t="s">
        <v>979</v>
      </c>
      <c r="S79" s="422" t="s">
        <v>980</v>
      </c>
      <c r="T79" s="72"/>
      <c r="V79" s="782"/>
      <c r="W79" s="783"/>
      <c r="X79" s="783"/>
      <c r="Y79" s="783"/>
      <c r="Z79" s="783"/>
      <c r="AA79" s="783"/>
      <c r="AB79" s="783"/>
      <c r="AC79" s="783"/>
      <c r="AD79" s="783"/>
      <c r="AE79" s="783"/>
      <c r="AF79" s="783"/>
      <c r="AG79" s="783"/>
      <c r="AH79" s="783"/>
      <c r="AI79" s="784"/>
    </row>
    <row r="80" spans="2:35" ht="23.1" customHeight="1">
      <c r="B80" s="80"/>
      <c r="C80" s="588">
        <v>1</v>
      </c>
      <c r="D80" s="410"/>
      <c r="E80" s="588"/>
      <c r="F80" s="588"/>
      <c r="G80" s="587"/>
      <c r="H80" s="588"/>
      <c r="I80" s="588"/>
      <c r="J80" s="357"/>
      <c r="K80" s="429"/>
      <c r="L80" s="429"/>
      <c r="M80" s="921"/>
      <c r="N80" s="921"/>
      <c r="O80" s="921"/>
      <c r="P80" s="1038"/>
      <c r="Q80" s="423">
        <f>L80+M80+N80</f>
        <v>0</v>
      </c>
      <c r="R80" s="1027"/>
      <c r="S80" s="1028"/>
      <c r="T80" s="72"/>
      <c r="V80" s="782"/>
      <c r="W80" s="783"/>
      <c r="X80" s="783"/>
      <c r="Y80" s="783"/>
      <c r="Z80" s="783"/>
      <c r="AA80" s="783"/>
      <c r="AB80" s="783"/>
      <c r="AC80" s="783"/>
      <c r="AD80" s="783"/>
      <c r="AE80" s="783"/>
      <c r="AF80" s="783"/>
      <c r="AG80" s="783"/>
      <c r="AH80" s="783"/>
      <c r="AI80" s="784"/>
    </row>
    <row r="81" spans="2:35" ht="23.1" customHeight="1">
      <c r="B81" s="80"/>
      <c r="C81" s="588">
        <v>2</v>
      </c>
      <c r="D81" s="410"/>
      <c r="E81" s="588"/>
      <c r="F81" s="588"/>
      <c r="G81" s="587"/>
      <c r="H81" s="588"/>
      <c r="I81" s="588"/>
      <c r="J81" s="588"/>
      <c r="K81" s="429"/>
      <c r="L81" s="429"/>
      <c r="M81" s="429"/>
      <c r="N81" s="429"/>
      <c r="O81" s="429"/>
      <c r="P81" s="1038"/>
      <c r="Q81" s="423">
        <f t="shared" ref="Q81:Q94" si="6">L81+M81+N81</f>
        <v>0</v>
      </c>
      <c r="R81" s="1029"/>
      <c r="S81" s="1030"/>
      <c r="T81" s="72"/>
      <c r="V81" s="782"/>
      <c r="W81" s="783"/>
      <c r="X81" s="783"/>
      <c r="Y81" s="783"/>
      <c r="Z81" s="783"/>
      <c r="AA81" s="783"/>
      <c r="AB81" s="783"/>
      <c r="AC81" s="783"/>
      <c r="AD81" s="783"/>
      <c r="AE81" s="783"/>
      <c r="AF81" s="783"/>
      <c r="AG81" s="783"/>
      <c r="AH81" s="783"/>
      <c r="AI81" s="784"/>
    </row>
    <row r="82" spans="2:35" ht="23.1" customHeight="1">
      <c r="B82" s="80"/>
      <c r="C82" s="588">
        <v>3</v>
      </c>
      <c r="D82" s="410"/>
      <c r="E82" s="588" t="s">
        <v>769</v>
      </c>
      <c r="F82" s="588"/>
      <c r="G82" s="587"/>
      <c r="H82" s="588"/>
      <c r="I82" s="588"/>
      <c r="J82" s="588"/>
      <c r="K82" s="429"/>
      <c r="L82" s="429"/>
      <c r="M82" s="429"/>
      <c r="N82" s="429"/>
      <c r="O82" s="429"/>
      <c r="P82" s="1038"/>
      <c r="Q82" s="423">
        <f t="shared" si="6"/>
        <v>0</v>
      </c>
      <c r="R82" s="1029"/>
      <c r="S82" s="1030"/>
      <c r="T82" s="72"/>
      <c r="V82" s="782"/>
      <c r="W82" s="783"/>
      <c r="X82" s="783"/>
      <c r="Y82" s="783"/>
      <c r="Z82" s="783"/>
      <c r="AA82" s="783"/>
      <c r="AB82" s="783"/>
      <c r="AC82" s="783"/>
      <c r="AD82" s="783"/>
      <c r="AE82" s="783"/>
      <c r="AF82" s="783"/>
      <c r="AG82" s="783"/>
      <c r="AH82" s="783"/>
      <c r="AI82" s="784"/>
    </row>
    <row r="83" spans="2:35" ht="23.1" customHeight="1">
      <c r="B83" s="80"/>
      <c r="C83" s="588">
        <v>4</v>
      </c>
      <c r="D83" s="410"/>
      <c r="E83" s="588"/>
      <c r="F83" s="588"/>
      <c r="G83" s="587"/>
      <c r="H83" s="588"/>
      <c r="I83" s="588"/>
      <c r="J83" s="588"/>
      <c r="K83" s="429"/>
      <c r="L83" s="429"/>
      <c r="M83" s="429"/>
      <c r="N83" s="429"/>
      <c r="O83" s="429"/>
      <c r="P83" s="1038"/>
      <c r="Q83" s="423">
        <f t="shared" si="6"/>
        <v>0</v>
      </c>
      <c r="R83" s="1029"/>
      <c r="S83" s="1030"/>
      <c r="T83" s="72"/>
      <c r="V83" s="782"/>
      <c r="W83" s="783"/>
      <c r="X83" s="783"/>
      <c r="Y83" s="783"/>
      <c r="Z83" s="783"/>
      <c r="AA83" s="783"/>
      <c r="AB83" s="783"/>
      <c r="AC83" s="783"/>
      <c r="AD83" s="783"/>
      <c r="AE83" s="783"/>
      <c r="AF83" s="783"/>
      <c r="AG83" s="783"/>
      <c r="AH83" s="783"/>
      <c r="AI83" s="784"/>
    </row>
    <row r="84" spans="2:35" ht="23.1" customHeight="1">
      <c r="B84" s="80"/>
      <c r="C84" s="588">
        <v>5</v>
      </c>
      <c r="D84" s="410"/>
      <c r="E84" s="588"/>
      <c r="F84" s="588"/>
      <c r="G84" s="587"/>
      <c r="H84" s="588"/>
      <c r="I84" s="588"/>
      <c r="J84" s="588"/>
      <c r="K84" s="429"/>
      <c r="L84" s="429"/>
      <c r="M84" s="429"/>
      <c r="N84" s="429"/>
      <c r="O84" s="429"/>
      <c r="P84" s="1038"/>
      <c r="Q84" s="423">
        <f t="shared" si="6"/>
        <v>0</v>
      </c>
      <c r="R84" s="1029"/>
      <c r="S84" s="1030"/>
      <c r="T84" s="72"/>
      <c r="V84" s="782"/>
      <c r="W84" s="783"/>
      <c r="X84" s="783"/>
      <c r="Y84" s="783"/>
      <c r="Z84" s="783"/>
      <c r="AA84" s="783"/>
      <c r="AB84" s="783"/>
      <c r="AC84" s="783"/>
      <c r="AD84" s="783"/>
      <c r="AE84" s="783"/>
      <c r="AF84" s="783"/>
      <c r="AG84" s="783"/>
      <c r="AH84" s="783"/>
      <c r="AI84" s="784"/>
    </row>
    <row r="85" spans="2:35" ht="23.1" customHeight="1">
      <c r="B85" s="80"/>
      <c r="C85" s="588">
        <v>6</v>
      </c>
      <c r="D85" s="410"/>
      <c r="E85" s="588"/>
      <c r="F85" s="588"/>
      <c r="G85" s="587"/>
      <c r="H85" s="588"/>
      <c r="I85" s="588"/>
      <c r="J85" s="588"/>
      <c r="K85" s="429"/>
      <c r="L85" s="429"/>
      <c r="M85" s="429"/>
      <c r="N85" s="429"/>
      <c r="O85" s="429"/>
      <c r="P85" s="1038"/>
      <c r="Q85" s="423">
        <f t="shared" si="6"/>
        <v>0</v>
      </c>
      <c r="R85" s="1029"/>
      <c r="S85" s="1030"/>
      <c r="T85" s="72"/>
      <c r="V85" s="782"/>
      <c r="W85" s="783"/>
      <c r="X85" s="783"/>
      <c r="Y85" s="783"/>
      <c r="Z85" s="783"/>
      <c r="AA85" s="783"/>
      <c r="AB85" s="783"/>
      <c r="AC85" s="783"/>
      <c r="AD85" s="783"/>
      <c r="AE85" s="783"/>
      <c r="AF85" s="783"/>
      <c r="AG85" s="783"/>
      <c r="AH85" s="783"/>
      <c r="AI85" s="784"/>
    </row>
    <row r="86" spans="2:35" ht="23.1" customHeight="1">
      <c r="B86" s="80"/>
      <c r="C86" s="588">
        <v>7</v>
      </c>
      <c r="D86" s="410"/>
      <c r="E86" s="588"/>
      <c r="F86" s="588"/>
      <c r="G86" s="587"/>
      <c r="H86" s="588"/>
      <c r="I86" s="588"/>
      <c r="J86" s="588"/>
      <c r="K86" s="429"/>
      <c r="L86" s="429"/>
      <c r="M86" s="429"/>
      <c r="N86" s="429"/>
      <c r="O86" s="429"/>
      <c r="P86" s="1038"/>
      <c r="Q86" s="423">
        <f t="shared" si="6"/>
        <v>0</v>
      </c>
      <c r="R86" s="1029"/>
      <c r="S86" s="1030"/>
      <c r="T86" s="72"/>
      <c r="V86" s="782"/>
      <c r="W86" s="783"/>
      <c r="X86" s="783"/>
      <c r="Y86" s="783"/>
      <c r="Z86" s="783"/>
      <c r="AA86" s="783"/>
      <c r="AB86" s="783"/>
      <c r="AC86" s="783"/>
      <c r="AD86" s="783"/>
      <c r="AE86" s="783"/>
      <c r="AF86" s="783"/>
      <c r="AG86" s="783"/>
      <c r="AH86" s="783"/>
      <c r="AI86" s="784"/>
    </row>
    <row r="87" spans="2:35" ht="23.1" customHeight="1">
      <c r="B87" s="80"/>
      <c r="C87" s="588">
        <v>8</v>
      </c>
      <c r="D87" s="410"/>
      <c r="E87" s="588"/>
      <c r="F87" s="588"/>
      <c r="G87" s="587"/>
      <c r="H87" s="588"/>
      <c r="I87" s="588"/>
      <c r="J87" s="588"/>
      <c r="K87" s="429"/>
      <c r="L87" s="429"/>
      <c r="M87" s="429"/>
      <c r="N87" s="429"/>
      <c r="O87" s="429"/>
      <c r="P87" s="1038"/>
      <c r="Q87" s="423">
        <f t="shared" si="6"/>
        <v>0</v>
      </c>
      <c r="R87" s="1029"/>
      <c r="S87" s="1030"/>
      <c r="T87" s="72"/>
      <c r="V87" s="782"/>
      <c r="W87" s="783"/>
      <c r="X87" s="783"/>
      <c r="Y87" s="783"/>
      <c r="Z87" s="783"/>
      <c r="AA87" s="783"/>
      <c r="AB87" s="783"/>
      <c r="AC87" s="783"/>
      <c r="AD87" s="783"/>
      <c r="AE87" s="783"/>
      <c r="AF87" s="783"/>
      <c r="AG87" s="783"/>
      <c r="AH87" s="783"/>
      <c r="AI87" s="784"/>
    </row>
    <row r="88" spans="2:35" ht="23.1" customHeight="1">
      <c r="B88" s="80"/>
      <c r="C88" s="588">
        <v>9</v>
      </c>
      <c r="D88" s="410"/>
      <c r="E88" s="588"/>
      <c r="F88" s="588"/>
      <c r="G88" s="587"/>
      <c r="H88" s="588"/>
      <c r="I88" s="588"/>
      <c r="J88" s="588"/>
      <c r="K88" s="429"/>
      <c r="L88" s="429"/>
      <c r="M88" s="429"/>
      <c r="N88" s="429"/>
      <c r="O88" s="429"/>
      <c r="P88" s="1038"/>
      <c r="Q88" s="423">
        <f t="shared" si="6"/>
        <v>0</v>
      </c>
      <c r="R88" s="1029"/>
      <c r="S88" s="1030"/>
      <c r="T88" s="72"/>
      <c r="V88" s="782"/>
      <c r="W88" s="783"/>
      <c r="X88" s="783"/>
      <c r="Y88" s="783"/>
      <c r="Z88" s="783"/>
      <c r="AA88" s="783"/>
      <c r="AB88" s="783"/>
      <c r="AC88" s="783"/>
      <c r="AD88" s="783"/>
      <c r="AE88" s="783"/>
      <c r="AF88" s="783"/>
      <c r="AG88" s="783"/>
      <c r="AH88" s="783"/>
      <c r="AI88" s="784"/>
    </row>
    <row r="89" spans="2:35" ht="23.1" customHeight="1">
      <c r="B89" s="80"/>
      <c r="C89" s="588">
        <v>10</v>
      </c>
      <c r="D89" s="410"/>
      <c r="E89" s="588"/>
      <c r="F89" s="588"/>
      <c r="G89" s="587"/>
      <c r="H89" s="588"/>
      <c r="I89" s="588"/>
      <c r="J89" s="588"/>
      <c r="K89" s="429"/>
      <c r="L89" s="429"/>
      <c r="M89" s="429"/>
      <c r="N89" s="429"/>
      <c r="O89" s="429"/>
      <c r="P89" s="1038"/>
      <c r="Q89" s="423">
        <f t="shared" si="6"/>
        <v>0</v>
      </c>
      <c r="R89" s="1029"/>
      <c r="S89" s="1030"/>
      <c r="T89" s="72"/>
      <c r="V89" s="782"/>
      <c r="W89" s="783"/>
      <c r="X89" s="783"/>
      <c r="Y89" s="783"/>
      <c r="Z89" s="783"/>
      <c r="AA89" s="783"/>
      <c r="AB89" s="783"/>
      <c r="AC89" s="783"/>
      <c r="AD89" s="783"/>
      <c r="AE89" s="783"/>
      <c r="AF89" s="783"/>
      <c r="AG89" s="783"/>
      <c r="AH89" s="783"/>
      <c r="AI89" s="784"/>
    </row>
    <row r="90" spans="2:35" ht="23.1" customHeight="1">
      <c r="B90" s="80"/>
      <c r="C90" s="588">
        <v>11</v>
      </c>
      <c r="D90" s="410"/>
      <c r="E90" s="588"/>
      <c r="F90" s="588"/>
      <c r="G90" s="587"/>
      <c r="H90" s="588"/>
      <c r="I90" s="588"/>
      <c r="J90" s="588"/>
      <c r="K90" s="429"/>
      <c r="L90" s="429"/>
      <c r="M90" s="429"/>
      <c r="N90" s="429"/>
      <c r="O90" s="429"/>
      <c r="P90" s="1038"/>
      <c r="Q90" s="423">
        <f t="shared" si="6"/>
        <v>0</v>
      </c>
      <c r="R90" s="1029"/>
      <c r="S90" s="1030"/>
      <c r="T90" s="72"/>
      <c r="V90" s="782"/>
      <c r="W90" s="783"/>
      <c r="X90" s="783"/>
      <c r="Y90" s="783"/>
      <c r="Z90" s="783"/>
      <c r="AA90" s="783"/>
      <c r="AB90" s="783"/>
      <c r="AC90" s="783"/>
      <c r="AD90" s="783"/>
      <c r="AE90" s="783"/>
      <c r="AF90" s="783"/>
      <c r="AG90" s="783"/>
      <c r="AH90" s="783"/>
      <c r="AI90" s="784"/>
    </row>
    <row r="91" spans="2:35" ht="23.1" customHeight="1">
      <c r="B91" s="80"/>
      <c r="C91" s="588">
        <v>12</v>
      </c>
      <c r="D91" s="410"/>
      <c r="E91" s="588"/>
      <c r="F91" s="588"/>
      <c r="G91" s="587"/>
      <c r="H91" s="588"/>
      <c r="I91" s="588"/>
      <c r="J91" s="588"/>
      <c r="K91" s="429"/>
      <c r="L91" s="429"/>
      <c r="M91" s="429"/>
      <c r="N91" s="429"/>
      <c r="O91" s="429"/>
      <c r="P91" s="1038"/>
      <c r="Q91" s="423">
        <f t="shared" si="6"/>
        <v>0</v>
      </c>
      <c r="R91" s="1029"/>
      <c r="S91" s="1030"/>
      <c r="T91" s="72"/>
      <c r="V91" s="782"/>
      <c r="W91" s="783"/>
      <c r="X91" s="783"/>
      <c r="Y91" s="783"/>
      <c r="Z91" s="783"/>
      <c r="AA91" s="783"/>
      <c r="AB91" s="783"/>
      <c r="AC91" s="783"/>
      <c r="AD91" s="783"/>
      <c r="AE91" s="783"/>
      <c r="AF91" s="783"/>
      <c r="AG91" s="783"/>
      <c r="AH91" s="783"/>
      <c r="AI91" s="784"/>
    </row>
    <row r="92" spans="2:35" ht="23.1" customHeight="1">
      <c r="B92" s="80"/>
      <c r="C92" s="588">
        <v>13</v>
      </c>
      <c r="D92" s="410"/>
      <c r="E92" s="588"/>
      <c r="F92" s="588"/>
      <c r="G92" s="587"/>
      <c r="H92" s="588"/>
      <c r="I92" s="588"/>
      <c r="J92" s="588"/>
      <c r="K92" s="429"/>
      <c r="L92" s="429"/>
      <c r="M92" s="429"/>
      <c r="N92" s="429"/>
      <c r="O92" s="429"/>
      <c r="P92" s="1038"/>
      <c r="Q92" s="423">
        <f t="shared" si="6"/>
        <v>0</v>
      </c>
      <c r="R92" s="1029"/>
      <c r="S92" s="1030"/>
      <c r="T92" s="72"/>
      <c r="V92" s="782"/>
      <c r="W92" s="783"/>
      <c r="X92" s="783"/>
      <c r="Y92" s="783"/>
      <c r="Z92" s="783"/>
      <c r="AA92" s="783"/>
      <c r="AB92" s="783"/>
      <c r="AC92" s="783"/>
      <c r="AD92" s="783"/>
      <c r="AE92" s="783"/>
      <c r="AF92" s="783"/>
      <c r="AG92" s="783"/>
      <c r="AH92" s="783"/>
      <c r="AI92" s="784"/>
    </row>
    <row r="93" spans="2:35" ht="23.1" customHeight="1">
      <c r="B93" s="80"/>
      <c r="C93" s="588">
        <v>14</v>
      </c>
      <c r="D93" s="410"/>
      <c r="E93" s="588"/>
      <c r="F93" s="588"/>
      <c r="G93" s="587"/>
      <c r="H93" s="588"/>
      <c r="I93" s="588"/>
      <c r="J93" s="588"/>
      <c r="K93" s="429"/>
      <c r="L93" s="429"/>
      <c r="M93" s="429"/>
      <c r="N93" s="429"/>
      <c r="O93" s="429"/>
      <c r="P93" s="1038"/>
      <c r="Q93" s="423">
        <f t="shared" si="6"/>
        <v>0</v>
      </c>
      <c r="R93" s="1029"/>
      <c r="S93" s="1030"/>
      <c r="T93" s="72"/>
      <c r="V93" s="782"/>
      <c r="W93" s="783"/>
      <c r="X93" s="783"/>
      <c r="Y93" s="783"/>
      <c r="Z93" s="783"/>
      <c r="AA93" s="783"/>
      <c r="AB93" s="783"/>
      <c r="AC93" s="783"/>
      <c r="AD93" s="783"/>
      <c r="AE93" s="783"/>
      <c r="AF93" s="783"/>
      <c r="AG93" s="783"/>
      <c r="AH93" s="783"/>
      <c r="AI93" s="784"/>
    </row>
    <row r="94" spans="2:35" ht="23.1" customHeight="1">
      <c r="B94" s="80"/>
      <c r="C94" s="588">
        <v>15</v>
      </c>
      <c r="D94" s="410"/>
      <c r="E94" s="588"/>
      <c r="F94" s="588"/>
      <c r="G94" s="587"/>
      <c r="H94" s="588"/>
      <c r="I94" s="588"/>
      <c r="J94" s="588"/>
      <c r="K94" s="429"/>
      <c r="L94" s="429"/>
      <c r="M94" s="429"/>
      <c r="N94" s="429"/>
      <c r="O94" s="429"/>
      <c r="P94" s="1038"/>
      <c r="Q94" s="423">
        <f t="shared" si="6"/>
        <v>0</v>
      </c>
      <c r="R94" s="1029"/>
      <c r="S94" s="1030"/>
      <c r="T94" s="72"/>
      <c r="V94" s="782"/>
      <c r="W94" s="783"/>
      <c r="X94" s="783"/>
      <c r="Y94" s="783"/>
      <c r="Z94" s="783"/>
      <c r="AA94" s="783"/>
      <c r="AB94" s="783"/>
      <c r="AC94" s="783"/>
      <c r="AD94" s="783"/>
      <c r="AE94" s="783"/>
      <c r="AF94" s="783"/>
      <c r="AG94" s="783"/>
      <c r="AH94" s="783"/>
      <c r="AI94" s="784"/>
    </row>
    <row r="95" spans="2:35" ht="23.1" customHeight="1" thickBot="1">
      <c r="B95" s="80"/>
      <c r="C95" s="597"/>
      <c r="D95" s="597"/>
      <c r="E95" s="150"/>
      <c r="F95" s="150"/>
      <c r="G95" s="150"/>
      <c r="H95" s="1408" t="s">
        <v>981</v>
      </c>
      <c r="I95" s="1409"/>
      <c r="J95" s="1410"/>
      <c r="K95" s="156">
        <f t="shared" ref="K95:S95" si="7">SUM(K80:K94)</f>
        <v>0</v>
      </c>
      <c r="L95" s="153">
        <f t="shared" si="7"/>
        <v>0</v>
      </c>
      <c r="M95" s="155">
        <f t="shared" si="7"/>
        <v>0</v>
      </c>
      <c r="N95" s="155">
        <f t="shared" si="7"/>
        <v>0</v>
      </c>
      <c r="O95" s="156">
        <f t="shared" si="7"/>
        <v>0</v>
      </c>
      <c r="P95" s="156">
        <f t="shared" si="7"/>
        <v>0</v>
      </c>
      <c r="Q95" s="424">
        <f t="shared" si="7"/>
        <v>0</v>
      </c>
      <c r="R95" s="155">
        <f t="shared" si="7"/>
        <v>0</v>
      </c>
      <c r="S95" s="119">
        <f t="shared" si="7"/>
        <v>0</v>
      </c>
      <c r="T95" s="72"/>
      <c r="V95" s="782"/>
      <c r="W95" s="783"/>
      <c r="X95" s="783"/>
      <c r="Y95" s="783"/>
      <c r="Z95" s="783"/>
      <c r="AA95" s="783"/>
      <c r="AB95" s="783"/>
      <c r="AC95" s="783"/>
      <c r="AD95" s="783"/>
      <c r="AE95" s="783"/>
      <c r="AF95" s="783"/>
      <c r="AG95" s="783"/>
      <c r="AH95" s="783"/>
      <c r="AI95" s="784"/>
    </row>
    <row r="96" spans="2:35" ht="23.1" customHeight="1">
      <c r="B96" s="80"/>
      <c r="C96" s="597"/>
      <c r="D96" s="597"/>
      <c r="E96" s="150"/>
      <c r="F96" s="150"/>
      <c r="G96" s="150"/>
      <c r="H96" s="354"/>
      <c r="I96" s="354"/>
      <c r="J96" s="354"/>
      <c r="K96" s="150"/>
      <c r="L96" s="150"/>
      <c r="M96" s="150"/>
      <c r="N96" s="150"/>
      <c r="O96" s="150"/>
      <c r="P96" s="150"/>
      <c r="Q96" s="150"/>
      <c r="R96" s="150"/>
      <c r="S96" s="150"/>
      <c r="T96" s="72"/>
      <c r="V96" s="782"/>
      <c r="W96" s="783"/>
      <c r="X96" s="783"/>
      <c r="Y96" s="783"/>
      <c r="Z96" s="783"/>
      <c r="AA96" s="783"/>
      <c r="AB96" s="783"/>
      <c r="AC96" s="783"/>
      <c r="AD96" s="783"/>
      <c r="AE96" s="783"/>
      <c r="AF96" s="783"/>
      <c r="AG96" s="783"/>
      <c r="AH96" s="783"/>
      <c r="AI96" s="784"/>
    </row>
    <row r="97" spans="2:35" ht="23.1" customHeight="1">
      <c r="B97" s="80"/>
      <c r="C97" s="597"/>
      <c r="D97" s="597"/>
      <c r="E97" s="150"/>
      <c r="F97" s="150"/>
      <c r="G97" s="150"/>
      <c r="H97" s="354"/>
      <c r="I97" s="354"/>
      <c r="J97" s="354"/>
      <c r="K97" s="150"/>
      <c r="L97" s="150"/>
      <c r="M97" s="150"/>
      <c r="N97" s="150"/>
      <c r="O97" s="150"/>
      <c r="P97" s="150"/>
      <c r="Q97" s="150"/>
      <c r="R97" s="150"/>
      <c r="S97" s="150"/>
      <c r="T97" s="72"/>
      <c r="V97" s="782"/>
      <c r="W97" s="783"/>
      <c r="X97" s="783"/>
      <c r="Y97" s="783"/>
      <c r="Z97" s="783"/>
      <c r="AA97" s="783"/>
      <c r="AB97" s="783"/>
      <c r="AC97" s="783"/>
      <c r="AD97" s="783"/>
      <c r="AE97" s="783"/>
      <c r="AF97" s="783"/>
      <c r="AG97" s="783"/>
      <c r="AH97" s="783"/>
      <c r="AI97" s="784"/>
    </row>
    <row r="98" spans="2:35" s="157" customFormat="1" ht="18" customHeight="1">
      <c r="B98" s="425"/>
      <c r="C98" s="348" t="s">
        <v>317</v>
      </c>
      <c r="E98" s="426"/>
      <c r="F98" s="426"/>
      <c r="G98" s="426"/>
      <c r="H98" s="426"/>
      <c r="I98" s="426"/>
      <c r="J98" s="426"/>
      <c r="K98" s="426"/>
      <c r="L98" s="426"/>
      <c r="M98" s="426"/>
      <c r="N98" s="74"/>
      <c r="O98" s="74"/>
      <c r="P98" s="74"/>
      <c r="Q98" s="74"/>
      <c r="R98" s="74"/>
      <c r="S98" s="74"/>
      <c r="T98" s="160"/>
      <c r="V98" s="788"/>
      <c r="W98" s="789"/>
      <c r="X98" s="789"/>
      <c r="Y98" s="789"/>
      <c r="Z98" s="789"/>
      <c r="AA98" s="789"/>
      <c r="AB98" s="789"/>
      <c r="AC98" s="789"/>
      <c r="AD98" s="789"/>
      <c r="AE98" s="789"/>
      <c r="AF98" s="789"/>
      <c r="AG98" s="789"/>
      <c r="AH98" s="789"/>
      <c r="AI98" s="790"/>
    </row>
    <row r="99" spans="2:35" s="157" customFormat="1" ht="18" customHeight="1">
      <c r="B99" s="425"/>
      <c r="C99" s="157" t="s">
        <v>1000</v>
      </c>
      <c r="E99" s="426"/>
      <c r="F99" s="426"/>
      <c r="G99" s="426"/>
      <c r="H99" s="426"/>
      <c r="I99" s="426"/>
      <c r="J99" s="426"/>
      <c r="K99" s="426"/>
      <c r="L99" s="426"/>
      <c r="M99" s="426"/>
      <c r="N99" s="74"/>
      <c r="O99" s="74"/>
      <c r="P99" s="74"/>
      <c r="Q99" s="74"/>
      <c r="R99" s="74"/>
      <c r="S99" s="74"/>
      <c r="T99" s="160"/>
      <c r="V99" s="788"/>
      <c r="W99" s="789"/>
      <c r="X99" s="789"/>
      <c r="Y99" s="789"/>
      <c r="Z99" s="789"/>
      <c r="AA99" s="789"/>
      <c r="AB99" s="789"/>
      <c r="AC99" s="789"/>
      <c r="AD99" s="789"/>
      <c r="AE99" s="789"/>
      <c r="AF99" s="789"/>
      <c r="AG99" s="789"/>
      <c r="AH99" s="789"/>
      <c r="AI99" s="790"/>
    </row>
    <row r="100" spans="2:35" s="157" customFormat="1" ht="18" customHeight="1">
      <c r="B100" s="425"/>
      <c r="C100" s="157" t="s">
        <v>1001</v>
      </c>
      <c r="E100" s="426"/>
      <c r="F100" s="426"/>
      <c r="G100" s="426"/>
      <c r="H100" s="426"/>
      <c r="I100" s="426"/>
      <c r="J100" s="426"/>
      <c r="K100" s="426"/>
      <c r="L100" s="426"/>
      <c r="M100" s="426"/>
      <c r="N100" s="74"/>
      <c r="O100" s="74"/>
      <c r="P100" s="74"/>
      <c r="Q100" s="74"/>
      <c r="R100" s="74"/>
      <c r="S100" s="74"/>
      <c r="T100" s="160"/>
      <c r="V100" s="788"/>
      <c r="W100" s="789"/>
      <c r="X100" s="789"/>
      <c r="Y100" s="789"/>
      <c r="Z100" s="789"/>
      <c r="AA100" s="789"/>
      <c r="AB100" s="789"/>
      <c r="AC100" s="789"/>
      <c r="AD100" s="789"/>
      <c r="AE100" s="789"/>
      <c r="AF100" s="789"/>
      <c r="AG100" s="789"/>
      <c r="AH100" s="789"/>
      <c r="AI100" s="790"/>
    </row>
    <row r="101" spans="2:35" s="157" customFormat="1" ht="18" customHeight="1">
      <c r="B101" s="425"/>
      <c r="C101" s="157" t="s">
        <v>1002</v>
      </c>
      <c r="E101" s="426"/>
      <c r="F101" s="426"/>
      <c r="G101" s="426"/>
      <c r="H101" s="426"/>
      <c r="I101" s="426"/>
      <c r="J101" s="426"/>
      <c r="K101" s="426"/>
      <c r="L101" s="426"/>
      <c r="M101" s="426"/>
      <c r="N101" s="74"/>
      <c r="O101" s="74"/>
      <c r="P101" s="74"/>
      <c r="Q101" s="74"/>
      <c r="R101" s="74"/>
      <c r="S101" s="74"/>
      <c r="T101" s="160"/>
      <c r="V101" s="788"/>
      <c r="W101" s="789"/>
      <c r="X101" s="789"/>
      <c r="Y101" s="789"/>
      <c r="Z101" s="789"/>
      <c r="AA101" s="789"/>
      <c r="AB101" s="789"/>
      <c r="AC101" s="789"/>
      <c r="AD101" s="789"/>
      <c r="AE101" s="789"/>
      <c r="AF101" s="789"/>
      <c r="AG101" s="789"/>
      <c r="AH101" s="789"/>
      <c r="AI101" s="790"/>
    </row>
    <row r="102" spans="2:35" s="157" customFormat="1" ht="18" customHeight="1">
      <c r="B102" s="425"/>
      <c r="C102" s="427" t="s">
        <v>1003</v>
      </c>
      <c r="E102" s="426"/>
      <c r="F102" s="426"/>
      <c r="G102" s="426"/>
      <c r="H102" s="426"/>
      <c r="I102" s="426"/>
      <c r="J102" s="426"/>
      <c r="K102" s="426"/>
      <c r="L102" s="426"/>
      <c r="M102" s="426"/>
      <c r="N102" s="74"/>
      <c r="O102" s="74"/>
      <c r="P102" s="74"/>
      <c r="Q102" s="74"/>
      <c r="R102" s="74"/>
      <c r="S102" s="74"/>
      <c r="T102" s="160"/>
      <c r="V102" s="788"/>
      <c r="W102" s="789"/>
      <c r="X102" s="789"/>
      <c r="Y102" s="789"/>
      <c r="Z102" s="789"/>
      <c r="AA102" s="789"/>
      <c r="AB102" s="789"/>
      <c r="AC102" s="789"/>
      <c r="AD102" s="789"/>
      <c r="AE102" s="789"/>
      <c r="AF102" s="789"/>
      <c r="AG102" s="789"/>
      <c r="AH102" s="789"/>
      <c r="AI102" s="790"/>
    </row>
    <row r="103" spans="2:35" s="157" customFormat="1" ht="18" customHeight="1">
      <c r="B103" s="425"/>
      <c r="C103" s="427" t="s">
        <v>1004</v>
      </c>
      <c r="E103" s="426"/>
      <c r="F103" s="426"/>
      <c r="G103" s="426"/>
      <c r="H103" s="426"/>
      <c r="I103" s="426"/>
      <c r="J103" s="426"/>
      <c r="K103" s="426"/>
      <c r="L103" s="426"/>
      <c r="M103" s="426"/>
      <c r="N103" s="74"/>
      <c r="O103" s="74"/>
      <c r="P103" s="74"/>
      <c r="Q103" s="74"/>
      <c r="R103" s="74"/>
      <c r="S103" s="74"/>
      <c r="T103" s="160"/>
      <c r="V103" s="788"/>
      <c r="W103" s="789"/>
      <c r="X103" s="789"/>
      <c r="Y103" s="789"/>
      <c r="Z103" s="789"/>
      <c r="AA103" s="789"/>
      <c r="AB103" s="789"/>
      <c r="AC103" s="789"/>
      <c r="AD103" s="789"/>
      <c r="AE103" s="789"/>
      <c r="AF103" s="789"/>
      <c r="AG103" s="789"/>
      <c r="AH103" s="789"/>
      <c r="AI103" s="790"/>
    </row>
    <row r="104" spans="2:35" s="157" customFormat="1" ht="18" customHeight="1">
      <c r="B104" s="425"/>
      <c r="C104" s="157" t="s">
        <v>1005</v>
      </c>
      <c r="E104" s="426"/>
      <c r="F104" s="426"/>
      <c r="G104" s="426"/>
      <c r="H104" s="426"/>
      <c r="I104" s="426"/>
      <c r="J104" s="426"/>
      <c r="K104" s="426"/>
      <c r="L104" s="426"/>
      <c r="M104" s="426"/>
      <c r="N104" s="74"/>
      <c r="O104" s="74"/>
      <c r="P104" s="74"/>
      <c r="Q104" s="74"/>
      <c r="R104" s="74"/>
      <c r="S104" s="74"/>
      <c r="T104" s="160"/>
      <c r="V104" s="788"/>
      <c r="W104" s="789"/>
      <c r="X104" s="789"/>
      <c r="Y104" s="789"/>
      <c r="Z104" s="789"/>
      <c r="AA104" s="789"/>
      <c r="AB104" s="789"/>
      <c r="AC104" s="789"/>
      <c r="AD104" s="789"/>
      <c r="AE104" s="789"/>
      <c r="AF104" s="789"/>
      <c r="AG104" s="789"/>
      <c r="AH104" s="789"/>
      <c r="AI104" s="790"/>
    </row>
    <row r="105" spans="2:35" s="157" customFormat="1" ht="18" customHeight="1">
      <c r="B105" s="425"/>
      <c r="C105" s="427" t="s">
        <v>1006</v>
      </c>
      <c r="E105" s="428"/>
      <c r="F105" s="428"/>
      <c r="G105" s="428"/>
      <c r="H105" s="428"/>
      <c r="I105" s="428"/>
      <c r="J105" s="428"/>
      <c r="K105" s="428"/>
      <c r="L105" s="428"/>
      <c r="M105" s="428"/>
      <c r="N105" s="74"/>
      <c r="O105" s="74"/>
      <c r="P105" s="74"/>
      <c r="Q105" s="74"/>
      <c r="R105" s="74"/>
      <c r="S105" s="74"/>
      <c r="T105" s="160"/>
      <c r="V105" s="788"/>
      <c r="W105" s="789"/>
      <c r="X105" s="789"/>
      <c r="Y105" s="789"/>
      <c r="Z105" s="789"/>
      <c r="AA105" s="789"/>
      <c r="AB105" s="789"/>
      <c r="AC105" s="789"/>
      <c r="AD105" s="789"/>
      <c r="AE105" s="789"/>
      <c r="AF105" s="789"/>
      <c r="AG105" s="789"/>
      <c r="AH105" s="789"/>
      <c r="AI105" s="790"/>
    </row>
    <row r="106" spans="2:35" s="157" customFormat="1" ht="18" customHeight="1">
      <c r="B106" s="425"/>
      <c r="C106" s="427" t="s">
        <v>1007</v>
      </c>
      <c r="E106" s="428"/>
      <c r="F106" s="428"/>
      <c r="G106" s="428"/>
      <c r="H106" s="428"/>
      <c r="I106" s="428"/>
      <c r="J106" s="428"/>
      <c r="K106" s="428"/>
      <c r="L106" s="428"/>
      <c r="M106" s="428"/>
      <c r="N106" s="74"/>
      <c r="O106" s="74"/>
      <c r="P106" s="74"/>
      <c r="Q106" s="74"/>
      <c r="R106" s="74"/>
      <c r="S106" s="74"/>
      <c r="T106" s="160"/>
      <c r="V106" s="788"/>
      <c r="W106" s="789"/>
      <c r="X106" s="789"/>
      <c r="Y106" s="789"/>
      <c r="Z106" s="789"/>
      <c r="AA106" s="789"/>
      <c r="AB106" s="789"/>
      <c r="AC106" s="789"/>
      <c r="AD106" s="789"/>
      <c r="AE106" s="789"/>
      <c r="AF106" s="789"/>
      <c r="AG106" s="789"/>
      <c r="AH106" s="789"/>
      <c r="AI106" s="790"/>
    </row>
    <row r="107" spans="2:35" s="157" customFormat="1" ht="18" customHeight="1">
      <c r="B107" s="425"/>
      <c r="C107" s="427" t="s">
        <v>1008</v>
      </c>
      <c r="E107" s="428"/>
      <c r="F107" s="428"/>
      <c r="G107" s="428"/>
      <c r="H107" s="428"/>
      <c r="I107" s="428"/>
      <c r="J107" s="428"/>
      <c r="K107" s="428"/>
      <c r="L107" s="428"/>
      <c r="M107" s="428"/>
      <c r="N107" s="74"/>
      <c r="O107" s="74"/>
      <c r="P107" s="74"/>
      <c r="Q107" s="74"/>
      <c r="R107" s="74"/>
      <c r="S107" s="74"/>
      <c r="T107" s="160"/>
      <c r="V107" s="788"/>
      <c r="W107" s="789"/>
      <c r="X107" s="789"/>
      <c r="Y107" s="789"/>
      <c r="Z107" s="789"/>
      <c r="AA107" s="789"/>
      <c r="AB107" s="789"/>
      <c r="AC107" s="789"/>
      <c r="AD107" s="789"/>
      <c r="AE107" s="789"/>
      <c r="AF107" s="789"/>
      <c r="AG107" s="789"/>
      <c r="AH107" s="789"/>
      <c r="AI107" s="790"/>
    </row>
    <row r="108" spans="2:35" s="157" customFormat="1" ht="18" customHeight="1">
      <c r="B108" s="425"/>
      <c r="C108" s="427" t="s">
        <v>1009</v>
      </c>
      <c r="E108" s="428"/>
      <c r="F108" s="428"/>
      <c r="G108" s="428"/>
      <c r="H108" s="428"/>
      <c r="I108" s="428"/>
      <c r="J108" s="428"/>
      <c r="K108" s="428"/>
      <c r="L108" s="428"/>
      <c r="M108" s="428"/>
      <c r="N108" s="74"/>
      <c r="O108" s="74"/>
      <c r="P108" s="74"/>
      <c r="Q108" s="74"/>
      <c r="R108" s="74"/>
      <c r="S108" s="74"/>
      <c r="T108" s="160"/>
      <c r="V108" s="788"/>
      <c r="W108" s="789"/>
      <c r="X108" s="789"/>
      <c r="Y108" s="789"/>
      <c r="Z108" s="789"/>
      <c r="AA108" s="789"/>
      <c r="AB108" s="789"/>
      <c r="AC108" s="789"/>
      <c r="AD108" s="789"/>
      <c r="AE108" s="789"/>
      <c r="AF108" s="789"/>
      <c r="AG108" s="789"/>
      <c r="AH108" s="789"/>
      <c r="AI108" s="790"/>
    </row>
    <row r="109" spans="2:35" ht="23.1" customHeight="1" thickBot="1">
      <c r="B109" s="83"/>
      <c r="C109" s="1228"/>
      <c r="D109" s="1228"/>
      <c r="E109" s="33"/>
      <c r="F109" s="33"/>
      <c r="G109" s="33"/>
      <c r="H109" s="33"/>
      <c r="I109" s="33"/>
      <c r="J109" s="33"/>
      <c r="K109" s="33"/>
      <c r="L109" s="33"/>
      <c r="M109" s="33"/>
      <c r="N109" s="33"/>
      <c r="O109" s="33"/>
      <c r="P109" s="33"/>
      <c r="Q109" s="33"/>
      <c r="R109" s="33"/>
      <c r="S109" s="33"/>
      <c r="T109" s="85"/>
      <c r="V109" s="791"/>
      <c r="W109" s="792"/>
      <c r="X109" s="792"/>
      <c r="Y109" s="792"/>
      <c r="Z109" s="792"/>
      <c r="AA109" s="792"/>
      <c r="AB109" s="792"/>
      <c r="AC109" s="792"/>
      <c r="AD109" s="792"/>
      <c r="AE109" s="792"/>
      <c r="AF109" s="792"/>
      <c r="AG109" s="792"/>
      <c r="AH109" s="792"/>
      <c r="AI109" s="793"/>
    </row>
    <row r="110" spans="2:35" ht="23.1" customHeight="1">
      <c r="U110" s="65" t="s">
        <v>248</v>
      </c>
    </row>
    <row r="111" spans="2:35" ht="12.75">
      <c r="C111" s="86" t="s">
        <v>98</v>
      </c>
      <c r="S111" s="63" t="s">
        <v>958</v>
      </c>
    </row>
    <row r="112" spans="2:35" ht="12.75">
      <c r="C112" s="86" t="s">
        <v>100</v>
      </c>
    </row>
    <row r="113" spans="3:3" ht="12.75">
      <c r="C113" s="86" t="s">
        <v>101</v>
      </c>
    </row>
    <row r="114" spans="3:3" ht="12.75">
      <c r="C114" s="86" t="s">
        <v>102</v>
      </c>
    </row>
    <row r="115" spans="3:3" ht="12.75">
      <c r="C115" s="86" t="s">
        <v>103</v>
      </c>
    </row>
  </sheetData>
  <sheetProtection sheet="1" insertRows="0"/>
  <mergeCells count="12">
    <mergeCell ref="R34:S34"/>
    <mergeCell ref="H51:J51"/>
    <mergeCell ref="S6:S7"/>
    <mergeCell ref="D9:S9"/>
    <mergeCell ref="C12:D12"/>
    <mergeCell ref="C109:D109"/>
    <mergeCell ref="R16:S16"/>
    <mergeCell ref="H28:J28"/>
    <mergeCell ref="R78:S78"/>
    <mergeCell ref="H95:J95"/>
    <mergeCell ref="R56:S56"/>
    <mergeCell ref="H73:J73"/>
  </mergeCells>
  <phoneticPr fontId="5" type="noConversion"/>
  <dataValidations count="2">
    <dataValidation type="decimal" operator="greaterThanOrEqual" allowBlank="1" showInputMessage="1" showErrorMessage="1" sqref="M18:M27 M36:M50 M58:M72 M80:M94" xr:uid="{8A96D57A-389D-4EA4-ACBF-7A6A819D34E3}">
      <formula1>0</formula1>
    </dataValidation>
    <dataValidation type="decimal" operator="lessThanOrEqual" allowBlank="1" showInputMessage="1" showErrorMessage="1" sqref="N18:N27 N36:N50 N58:N72 N80:N94" xr:uid="{41FFDF50-8944-4B1B-AFBF-A655AA6279B3}">
      <formula1>0</formula1>
    </dataValidation>
  </dataValidations>
  <printOptions horizontalCentered="1" verticalCentered="1"/>
  <pageMargins left="0.36000000000000004" right="0.36000000000000004" top="0.6100000000000001" bottom="0.6100000000000001" header="0.5" footer="0.5"/>
  <pageSetup paperSize="9" scale="28" orientation="portrait" horizontalDpi="4294967292" verticalDpi="4294967292" r:id="rId1"/>
  <ignoredErrors>
    <ignoredError sqref="I17" numberStoredAsText="1"/>
  </ignoredErrors>
  <drawing r:id="rId2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F6076FA-B141-45BC-AEB2-A9CB4447961E}">
  <sheetPr codeName="Hoja16">
    <pageSetUpPr fitToPage="1"/>
  </sheetPr>
  <dimension ref="A2:Y74"/>
  <sheetViews>
    <sheetView topLeftCell="A11" zoomScaleNormal="100" zoomScalePageLayoutView="125" workbookViewId="0">
      <selection activeCell="A23" sqref="A23:IV23"/>
    </sheetView>
  </sheetViews>
  <sheetFormatPr baseColWidth="10" defaultColWidth="10.6640625" defaultRowHeight="23.1" customHeight="1"/>
  <cols>
    <col min="1" max="1" width="4.109375" style="65" bestFit="1" customWidth="1"/>
    <col min="2" max="2" width="3.109375" style="65" customWidth="1"/>
    <col min="3" max="3" width="13.5546875" style="65" customWidth="1"/>
    <col min="4" max="4" width="14.44140625" style="65" customWidth="1"/>
    <col min="5" max="5" width="26.88671875" style="66" customWidth="1"/>
    <col min="6" max="9" width="13.44140625" style="66" customWidth="1"/>
    <col min="10" max="10" width="3.33203125" style="65" customWidth="1"/>
    <col min="11" max="16384" width="10.6640625" style="65"/>
  </cols>
  <sheetData>
    <row r="2" spans="1:25" ht="23.1" customHeight="1">
      <c r="D2" s="391" t="str">
        <f>_GENERAL!D2</f>
        <v>Área de la Presidenta: Igualdad y Diversidad, Hacienda y Proyectos Estratégicos</v>
      </c>
    </row>
    <row r="3" spans="1:25" ht="23.1" customHeight="1">
      <c r="D3" s="391" t="str">
        <f>_GENERAL!D3</f>
        <v>Dirección Insular de Hacienda</v>
      </c>
    </row>
    <row r="4" spans="1:25" ht="23.1" customHeight="1" thickBot="1">
      <c r="A4" s="65" t="s">
        <v>195</v>
      </c>
    </row>
    <row r="5" spans="1:25" ht="9" customHeight="1">
      <c r="B5" s="67"/>
      <c r="C5" s="68"/>
      <c r="D5" s="68"/>
      <c r="E5" s="69"/>
      <c r="F5" s="69"/>
      <c r="G5" s="69"/>
      <c r="H5" s="69"/>
      <c r="I5" s="69"/>
      <c r="J5" s="70"/>
      <c r="L5" s="746"/>
      <c r="M5" s="747"/>
      <c r="N5" s="747"/>
      <c r="O5" s="747"/>
      <c r="P5" s="747"/>
      <c r="Q5" s="747"/>
      <c r="R5" s="747"/>
      <c r="S5" s="747"/>
      <c r="T5" s="747"/>
      <c r="U5" s="747"/>
      <c r="V5" s="747"/>
      <c r="W5" s="747"/>
      <c r="X5" s="747"/>
      <c r="Y5" s="744"/>
    </row>
    <row r="6" spans="1:25" ht="30" customHeight="1">
      <c r="B6" s="71"/>
      <c r="C6" s="40" t="s">
        <v>2</v>
      </c>
      <c r="I6" s="1212">
        <f>ejercicio</f>
        <v>2025</v>
      </c>
      <c r="J6" s="72"/>
      <c r="L6" s="751"/>
      <c r="M6" s="752"/>
      <c r="N6" s="752"/>
      <c r="O6" s="752"/>
      <c r="P6" s="752"/>
      <c r="Q6" s="752"/>
      <c r="R6" s="752"/>
      <c r="S6" s="752"/>
      <c r="T6" s="752"/>
      <c r="U6" s="752"/>
      <c r="V6" s="752"/>
      <c r="W6" s="752"/>
      <c r="X6" s="752"/>
      <c r="Y6" s="255"/>
    </row>
    <row r="7" spans="1:25" ht="30" customHeight="1">
      <c r="B7" s="71"/>
      <c r="C7" s="40" t="s">
        <v>3</v>
      </c>
      <c r="I7" s="1212"/>
      <c r="J7" s="72"/>
      <c r="L7" s="754"/>
      <c r="M7" s="755" t="s">
        <v>196</v>
      </c>
      <c r="N7" s="756"/>
      <c r="O7" s="756"/>
      <c r="P7" s="756"/>
      <c r="Q7" s="756"/>
      <c r="R7" s="756"/>
      <c r="S7" s="756"/>
      <c r="T7" s="756"/>
      <c r="U7" s="756"/>
      <c r="V7" s="756"/>
      <c r="W7" s="756"/>
      <c r="X7" s="756"/>
      <c r="Y7" s="255"/>
    </row>
    <row r="8" spans="1:25" ht="30" customHeight="1">
      <c r="B8" s="71"/>
      <c r="C8" s="73"/>
      <c r="I8" s="74"/>
      <c r="J8" s="72"/>
      <c r="L8" s="751"/>
      <c r="M8" s="752"/>
      <c r="N8" s="752"/>
      <c r="O8" s="752"/>
      <c r="P8" s="752"/>
      <c r="Q8" s="752"/>
      <c r="R8" s="752"/>
      <c r="S8" s="752"/>
      <c r="T8" s="752"/>
      <c r="U8" s="752"/>
      <c r="V8" s="752"/>
      <c r="W8" s="752"/>
      <c r="X8" s="752"/>
      <c r="Y8" s="753"/>
    </row>
    <row r="9" spans="1:25" s="128" customFormat="1" ht="30" customHeight="1">
      <c r="A9" s="877"/>
      <c r="B9" s="905"/>
      <c r="C9" s="21" t="s">
        <v>105</v>
      </c>
      <c r="D9" s="1229" t="str">
        <f>Entidad</f>
        <v>(MERCATENERIFE) Mercados Centrales de Abastecimiento de Tenerife, S.A.</v>
      </c>
      <c r="E9" s="1229"/>
      <c r="F9" s="1229"/>
      <c r="G9" s="1229"/>
      <c r="H9" s="1229"/>
      <c r="I9" s="1229"/>
      <c r="J9" s="904"/>
      <c r="K9" s="877"/>
      <c r="L9" s="751"/>
      <c r="M9" s="752"/>
      <c r="N9" s="752"/>
      <c r="O9" s="752"/>
      <c r="P9" s="752"/>
      <c r="Q9" s="752"/>
      <c r="R9" s="752"/>
      <c r="S9" s="752"/>
      <c r="T9" s="752"/>
      <c r="U9" s="752"/>
      <c r="V9" s="752"/>
      <c r="W9" s="752"/>
      <c r="X9" s="752"/>
      <c r="Y9" s="753"/>
    </row>
    <row r="10" spans="1:25" ht="6.95" customHeight="1">
      <c r="B10" s="71"/>
      <c r="J10" s="72"/>
      <c r="L10" s="751"/>
      <c r="M10" s="752"/>
      <c r="N10" s="752"/>
      <c r="O10" s="752"/>
      <c r="P10" s="752"/>
      <c r="Q10" s="752"/>
      <c r="R10" s="752"/>
      <c r="S10" s="752"/>
      <c r="T10" s="752"/>
      <c r="U10" s="752"/>
      <c r="V10" s="752"/>
      <c r="W10" s="752"/>
      <c r="X10" s="752"/>
      <c r="Y10" s="753"/>
    </row>
    <row r="11" spans="1:25" s="79" customFormat="1" ht="30" customHeight="1">
      <c r="B11" s="75"/>
      <c r="C11" s="76" t="s">
        <v>1010</v>
      </c>
      <c r="D11" s="76"/>
      <c r="E11" s="77"/>
      <c r="F11" s="77"/>
      <c r="G11" s="77"/>
      <c r="H11" s="77"/>
      <c r="I11" s="77"/>
      <c r="J11" s="78"/>
      <c r="L11" s="751"/>
      <c r="M11" s="752"/>
      <c r="N11" s="752"/>
      <c r="O11" s="752"/>
      <c r="P11" s="752"/>
      <c r="Q11" s="752"/>
      <c r="R11" s="752"/>
      <c r="S11" s="752"/>
      <c r="T11" s="752"/>
      <c r="U11" s="752"/>
      <c r="V11" s="752"/>
      <c r="W11" s="752"/>
      <c r="X11" s="752"/>
      <c r="Y11" s="753"/>
    </row>
    <row r="12" spans="1:25" s="79" customFormat="1" ht="30" customHeight="1">
      <c r="B12" s="75"/>
      <c r="C12" s="1237"/>
      <c r="D12" s="1237"/>
      <c r="E12" s="64"/>
      <c r="F12" s="64"/>
      <c r="G12" s="64"/>
      <c r="H12" s="64"/>
      <c r="I12" s="64"/>
      <c r="J12" s="78"/>
      <c r="L12" s="751"/>
      <c r="M12" s="752"/>
      <c r="N12" s="752"/>
      <c r="O12" s="752"/>
      <c r="P12" s="752"/>
      <c r="Q12" s="752"/>
      <c r="R12" s="752"/>
      <c r="S12" s="752"/>
      <c r="T12" s="752"/>
      <c r="U12" s="752"/>
      <c r="V12" s="752"/>
      <c r="W12" s="752"/>
      <c r="X12" s="752"/>
      <c r="Y12" s="753"/>
    </row>
    <row r="13" spans="1:25" s="79" customFormat="1" ht="15.95" customHeight="1">
      <c r="B13" s="75"/>
      <c r="C13" s="1091"/>
      <c r="D13" s="1092"/>
      <c r="E13" s="1093"/>
      <c r="F13" s="152" t="s">
        <v>1011</v>
      </c>
      <c r="G13" s="1420" t="s">
        <v>1012</v>
      </c>
      <c r="H13" s="1421"/>
      <c r="I13" s="1422"/>
      <c r="J13" s="78"/>
      <c r="L13" s="751"/>
      <c r="M13" s="752"/>
      <c r="N13" s="752"/>
      <c r="O13" s="752"/>
      <c r="P13" s="752"/>
      <c r="Q13" s="752"/>
      <c r="R13" s="752"/>
      <c r="S13" s="752"/>
      <c r="T13" s="752"/>
      <c r="U13" s="752"/>
      <c r="V13" s="752"/>
      <c r="W13" s="752"/>
      <c r="X13" s="752"/>
      <c r="Y13" s="753"/>
    </row>
    <row r="14" spans="1:25" s="79" customFormat="1" ht="15.95" customHeight="1">
      <c r="B14" s="75"/>
      <c r="C14" s="1084"/>
      <c r="D14" s="1085"/>
      <c r="E14" s="1094"/>
      <c r="F14" s="142" t="s">
        <v>1013</v>
      </c>
      <c r="G14" s="152" t="s">
        <v>1014</v>
      </c>
      <c r="H14" s="152" t="s">
        <v>1015</v>
      </c>
      <c r="I14" s="152" t="s">
        <v>1016</v>
      </c>
      <c r="J14" s="78"/>
      <c r="L14" s="751"/>
      <c r="M14" s="752"/>
      <c r="N14" s="752"/>
      <c r="O14" s="752"/>
      <c r="P14" s="752"/>
      <c r="Q14" s="752"/>
      <c r="R14" s="752"/>
      <c r="S14" s="752"/>
      <c r="T14" s="752"/>
      <c r="U14" s="752"/>
      <c r="V14" s="752"/>
      <c r="W14" s="752"/>
      <c r="X14" s="752"/>
      <c r="Y14" s="753"/>
    </row>
    <row r="15" spans="1:25" s="128" customFormat="1" ht="15.95" customHeight="1">
      <c r="A15" s="877"/>
      <c r="B15" s="905"/>
      <c r="C15" s="1423" t="s">
        <v>1017</v>
      </c>
      <c r="D15" s="1424"/>
      <c r="E15" s="1425"/>
      <c r="F15" s="137">
        <f>ejercicio</f>
        <v>2025</v>
      </c>
      <c r="G15" s="137">
        <f>ejercicio</f>
        <v>2025</v>
      </c>
      <c r="H15" s="137">
        <f>ejercicio</f>
        <v>2025</v>
      </c>
      <c r="I15" s="137">
        <f>ejercicio</f>
        <v>2025</v>
      </c>
      <c r="J15" s="904"/>
      <c r="K15" s="877"/>
      <c r="L15" s="751"/>
      <c r="M15" s="752"/>
      <c r="N15" s="752"/>
      <c r="O15" s="752"/>
      <c r="P15" s="752"/>
      <c r="Q15" s="752"/>
      <c r="R15" s="752"/>
      <c r="S15" s="752"/>
      <c r="T15" s="752"/>
      <c r="U15" s="752"/>
      <c r="V15" s="752"/>
      <c r="W15" s="752"/>
      <c r="X15" s="752"/>
      <c r="Y15" s="753"/>
    </row>
    <row r="16" spans="1:25" s="128" customFormat="1" ht="8.1" customHeight="1">
      <c r="A16" s="877"/>
      <c r="B16" s="905"/>
      <c r="C16" s="40"/>
      <c r="D16" s="40"/>
      <c r="E16" s="127"/>
      <c r="F16" s="127"/>
      <c r="G16" s="127"/>
      <c r="H16" s="127"/>
      <c r="I16" s="127"/>
      <c r="J16" s="904"/>
      <c r="K16" s="877"/>
      <c r="L16" s="751"/>
      <c r="M16" s="752"/>
      <c r="N16" s="752"/>
      <c r="O16" s="752"/>
      <c r="P16" s="752"/>
      <c r="Q16" s="752"/>
      <c r="R16" s="752"/>
      <c r="S16" s="752"/>
      <c r="T16" s="752"/>
      <c r="U16" s="752"/>
      <c r="V16" s="752"/>
      <c r="W16" s="752"/>
      <c r="X16" s="752"/>
      <c r="Y16" s="753"/>
    </row>
    <row r="17" spans="1:25" s="128" customFormat="1" ht="50.1" customHeight="1">
      <c r="A17" s="877"/>
      <c r="B17" s="905"/>
      <c r="C17" s="1414" t="s">
        <v>1018</v>
      </c>
      <c r="D17" s="1415"/>
      <c r="E17" s="1416"/>
      <c r="F17" s="1107">
        <f>F18+F19</f>
        <v>0</v>
      </c>
      <c r="G17" s="1108">
        <f>G18+G19</f>
        <v>0</v>
      </c>
      <c r="H17" s="1109">
        <f>H18+H19</f>
        <v>0</v>
      </c>
      <c r="I17" s="1110">
        <f>I18+I19</f>
        <v>0</v>
      </c>
      <c r="J17" s="904"/>
      <c r="K17" s="877"/>
      <c r="L17" s="751"/>
      <c r="M17" s="752"/>
      <c r="N17" s="752"/>
      <c r="O17" s="752"/>
      <c r="P17" s="752"/>
      <c r="Q17" s="752"/>
      <c r="R17" s="752"/>
      <c r="S17" s="752"/>
      <c r="T17" s="752"/>
      <c r="U17" s="752"/>
      <c r="V17" s="752"/>
      <c r="W17" s="752"/>
      <c r="X17" s="752"/>
      <c r="Y17" s="753"/>
    </row>
    <row r="18" spans="1:25" s="128" customFormat="1" ht="24" customHeight="1">
      <c r="A18" s="877"/>
      <c r="B18" s="905"/>
      <c r="C18" s="1102" t="s">
        <v>1019</v>
      </c>
      <c r="D18" s="1095"/>
      <c r="E18" s="1096"/>
      <c r="F18" s="929"/>
      <c r="G18" s="1046"/>
      <c r="H18" s="1002"/>
      <c r="I18" s="1047"/>
      <c r="J18" s="904"/>
      <c r="K18" s="877"/>
      <c r="L18" s="751"/>
      <c r="M18" s="752"/>
      <c r="N18" s="752"/>
      <c r="O18" s="752"/>
      <c r="P18" s="752"/>
      <c r="Q18" s="752"/>
      <c r="R18" s="752"/>
      <c r="S18" s="752"/>
      <c r="T18" s="752"/>
      <c r="U18" s="752"/>
      <c r="V18" s="752"/>
      <c r="W18" s="752"/>
      <c r="X18" s="752"/>
      <c r="Y18" s="753"/>
    </row>
    <row r="19" spans="1:25" s="128" customFormat="1" ht="24" customHeight="1">
      <c r="A19" s="877"/>
      <c r="B19" s="905"/>
      <c r="C19" s="1102" t="s">
        <v>1020</v>
      </c>
      <c r="D19" s="1095"/>
      <c r="E19" s="1096"/>
      <c r="F19" s="929"/>
      <c r="G19" s="1046"/>
      <c r="H19" s="1002"/>
      <c r="I19" s="1047"/>
      <c r="J19" s="904"/>
      <c r="K19" s="877"/>
      <c r="L19" s="751"/>
      <c r="M19" s="752"/>
      <c r="N19" s="752"/>
      <c r="O19" s="752"/>
      <c r="P19" s="752"/>
      <c r="Q19" s="752"/>
      <c r="R19" s="752"/>
      <c r="S19" s="752"/>
      <c r="T19" s="752"/>
      <c r="U19" s="752"/>
      <c r="V19" s="752"/>
      <c r="W19" s="752"/>
      <c r="X19" s="752"/>
      <c r="Y19" s="753"/>
    </row>
    <row r="20" spans="1:25" s="128" customFormat="1" ht="24" customHeight="1">
      <c r="A20" s="877"/>
      <c r="B20" s="905"/>
      <c r="C20" s="1099" t="s">
        <v>1021</v>
      </c>
      <c r="D20" s="1103"/>
      <c r="E20" s="1096"/>
      <c r="F20" s="1086"/>
      <c r="G20" s="1087"/>
      <c r="H20" s="1088"/>
      <c r="I20" s="1089"/>
      <c r="J20" s="904"/>
      <c r="K20" s="877"/>
      <c r="L20" s="751"/>
      <c r="M20" s="752"/>
      <c r="N20" s="752"/>
      <c r="O20" s="752"/>
      <c r="P20" s="752"/>
      <c r="Q20" s="752"/>
      <c r="R20" s="752"/>
      <c r="S20" s="752"/>
      <c r="T20" s="752"/>
      <c r="U20" s="752"/>
      <c r="V20" s="752"/>
      <c r="W20" s="752"/>
      <c r="X20" s="752"/>
      <c r="Y20" s="753"/>
    </row>
    <row r="21" spans="1:25" s="128" customFormat="1" ht="24" customHeight="1">
      <c r="A21" s="877"/>
      <c r="B21" s="905"/>
      <c r="C21" s="1099" t="s">
        <v>1022</v>
      </c>
      <c r="D21" s="1103"/>
      <c r="E21" s="1096"/>
      <c r="F21" s="1086"/>
      <c r="G21" s="1087"/>
      <c r="H21" s="1088"/>
      <c r="I21" s="1089"/>
      <c r="J21" s="904"/>
      <c r="K21" s="877"/>
      <c r="L21" s="751"/>
      <c r="M21" s="752"/>
      <c r="N21" s="752"/>
      <c r="O21" s="752"/>
      <c r="P21" s="752"/>
      <c r="Q21" s="752"/>
      <c r="R21" s="752"/>
      <c r="S21" s="752"/>
      <c r="T21" s="752"/>
      <c r="U21" s="752"/>
      <c r="V21" s="752"/>
      <c r="W21" s="752"/>
      <c r="X21" s="752"/>
      <c r="Y21" s="753"/>
    </row>
    <row r="22" spans="1:25" s="128" customFormat="1" ht="50.1" customHeight="1">
      <c r="A22" s="877"/>
      <c r="B22" s="905"/>
      <c r="C22" s="1414" t="s">
        <v>1023</v>
      </c>
      <c r="D22" s="1415"/>
      <c r="E22" s="1416"/>
      <c r="F22" s="1107">
        <f>SUM(F23:F27)</f>
        <v>1500000</v>
      </c>
      <c r="G22" s="1108">
        <f>SUM(G23:G27)</f>
        <v>0</v>
      </c>
      <c r="H22" s="1109">
        <f>SUM(H23:H27)</f>
        <v>0</v>
      </c>
      <c r="I22" s="1110">
        <f>SUM(I23:I27)</f>
        <v>0</v>
      </c>
      <c r="J22" s="904"/>
      <c r="K22" s="877"/>
      <c r="L22" s="751"/>
      <c r="M22" s="752"/>
      <c r="N22" s="752"/>
      <c r="O22" s="752"/>
      <c r="P22" s="752"/>
      <c r="Q22" s="752"/>
      <c r="R22" s="752"/>
      <c r="S22" s="752"/>
      <c r="T22" s="752"/>
      <c r="U22" s="752"/>
      <c r="V22" s="752"/>
      <c r="W22" s="752"/>
      <c r="X22" s="752"/>
      <c r="Y22" s="753"/>
    </row>
    <row r="23" spans="1:25" s="128" customFormat="1" ht="24" customHeight="1">
      <c r="A23" s="877"/>
      <c r="B23" s="905"/>
      <c r="C23" s="1102" t="s">
        <v>1024</v>
      </c>
      <c r="D23" s="1095"/>
      <c r="E23" s="1096"/>
      <c r="F23" s="929">
        <v>1500000</v>
      </c>
      <c r="G23" s="1046"/>
      <c r="H23" s="1002"/>
      <c r="I23" s="1047"/>
      <c r="J23" s="904"/>
      <c r="K23" s="877"/>
      <c r="L23" s="751"/>
      <c r="M23" s="752"/>
      <c r="N23" s="752"/>
      <c r="O23" s="752"/>
      <c r="P23" s="752"/>
      <c r="Q23" s="752"/>
      <c r="R23" s="752"/>
      <c r="S23" s="752"/>
      <c r="T23" s="752"/>
      <c r="U23" s="752"/>
      <c r="V23" s="752"/>
      <c r="W23" s="752"/>
      <c r="X23" s="752"/>
      <c r="Y23" s="753"/>
    </row>
    <row r="24" spans="1:25" s="128" customFormat="1" ht="47.1" customHeight="1">
      <c r="A24" s="877"/>
      <c r="B24" s="905"/>
      <c r="C24" s="1411" t="s">
        <v>1025</v>
      </c>
      <c r="D24" s="1412"/>
      <c r="E24" s="1413"/>
      <c r="F24" s="929"/>
      <c r="G24" s="1046"/>
      <c r="H24" s="1002"/>
      <c r="I24" s="1047"/>
      <c r="J24" s="904"/>
      <c r="K24" s="877"/>
      <c r="L24" s="751"/>
      <c r="M24" s="752"/>
      <c r="N24" s="752"/>
      <c r="O24" s="752"/>
      <c r="P24" s="752"/>
      <c r="Q24" s="752"/>
      <c r="R24" s="752"/>
      <c r="S24" s="752"/>
      <c r="T24" s="752"/>
      <c r="U24" s="752"/>
      <c r="V24" s="752"/>
      <c r="W24" s="752"/>
      <c r="X24" s="752"/>
      <c r="Y24" s="753"/>
    </row>
    <row r="25" spans="1:25" s="128" customFormat="1" ht="24" customHeight="1">
      <c r="A25" s="877"/>
      <c r="B25" s="905"/>
      <c r="C25" s="1102" t="s">
        <v>1026</v>
      </c>
      <c r="D25" s="1095"/>
      <c r="E25" s="1097"/>
      <c r="F25" s="929"/>
      <c r="G25" s="1046"/>
      <c r="H25" s="1002"/>
      <c r="I25" s="1047"/>
      <c r="J25" s="904"/>
      <c r="K25" s="877"/>
      <c r="L25" s="751"/>
      <c r="M25" s="752"/>
      <c r="N25" s="752"/>
      <c r="O25" s="752"/>
      <c r="P25" s="752"/>
      <c r="Q25" s="752"/>
      <c r="R25" s="752"/>
      <c r="S25" s="752"/>
      <c r="T25" s="752"/>
      <c r="U25" s="752"/>
      <c r="V25" s="752"/>
      <c r="W25" s="752"/>
      <c r="X25" s="752"/>
      <c r="Y25" s="753"/>
    </row>
    <row r="26" spans="1:25" s="128" customFormat="1" ht="36" customHeight="1">
      <c r="A26" s="877"/>
      <c r="B26" s="905"/>
      <c r="C26" s="1411" t="s">
        <v>1027</v>
      </c>
      <c r="D26" s="1412"/>
      <c r="E26" s="1413"/>
      <c r="F26" s="929"/>
      <c r="G26" s="1046"/>
      <c r="H26" s="1002"/>
      <c r="I26" s="1047"/>
      <c r="J26" s="904"/>
      <c r="K26" s="877"/>
      <c r="L26" s="751"/>
      <c r="M26" s="752"/>
      <c r="N26" s="752"/>
      <c r="O26" s="752"/>
      <c r="P26" s="752"/>
      <c r="Q26" s="752"/>
      <c r="R26" s="752"/>
      <c r="S26" s="752"/>
      <c r="T26" s="752"/>
      <c r="U26" s="752"/>
      <c r="V26" s="752"/>
      <c r="W26" s="752"/>
      <c r="X26" s="752"/>
      <c r="Y26" s="753"/>
    </row>
    <row r="27" spans="1:25" s="128" customFormat="1" ht="24" customHeight="1">
      <c r="A27" s="877"/>
      <c r="B27" s="905"/>
      <c r="C27" s="1102" t="s">
        <v>1028</v>
      </c>
      <c r="D27" s="1095"/>
      <c r="E27" s="1097"/>
      <c r="F27" s="929"/>
      <c r="G27" s="1046"/>
      <c r="H27" s="1002"/>
      <c r="I27" s="1047"/>
      <c r="J27" s="904"/>
      <c r="K27" s="877"/>
      <c r="L27" s="751"/>
      <c r="M27" s="752"/>
      <c r="N27" s="752"/>
      <c r="O27" s="752"/>
      <c r="P27" s="752"/>
      <c r="Q27" s="752"/>
      <c r="R27" s="752"/>
      <c r="S27" s="752"/>
      <c r="T27" s="752"/>
      <c r="U27" s="752"/>
      <c r="V27" s="752"/>
      <c r="W27" s="752"/>
      <c r="X27" s="752"/>
      <c r="Y27" s="753"/>
    </row>
    <row r="28" spans="1:25" s="128" customFormat="1" ht="24" customHeight="1">
      <c r="A28" s="877"/>
      <c r="B28" s="905"/>
      <c r="C28" s="1099" t="s">
        <v>1029</v>
      </c>
      <c r="D28" s="1103"/>
      <c r="E28" s="1097"/>
      <c r="F28" s="1086"/>
      <c r="G28" s="1087"/>
      <c r="H28" s="1088"/>
      <c r="I28" s="1089"/>
      <c r="J28" s="904"/>
      <c r="K28" s="877"/>
      <c r="L28" s="751"/>
      <c r="M28" s="752"/>
      <c r="N28" s="752"/>
      <c r="O28" s="752"/>
      <c r="P28" s="752"/>
      <c r="Q28" s="752"/>
      <c r="R28" s="752"/>
      <c r="S28" s="752"/>
      <c r="T28" s="752"/>
      <c r="U28" s="752"/>
      <c r="V28" s="752"/>
      <c r="W28" s="752"/>
      <c r="X28" s="752"/>
      <c r="Y28" s="753"/>
    </row>
    <row r="29" spans="1:25" s="128" customFormat="1" ht="24" customHeight="1">
      <c r="A29" s="877"/>
      <c r="B29" s="905"/>
      <c r="C29" s="1099" t="s">
        <v>1030</v>
      </c>
      <c r="D29" s="1103"/>
      <c r="E29" s="1097"/>
      <c r="F29" s="1086"/>
      <c r="G29" s="1087"/>
      <c r="H29" s="1088"/>
      <c r="I29" s="1089"/>
      <c r="J29" s="904"/>
      <c r="K29" s="877"/>
      <c r="L29" s="751"/>
      <c r="M29" s="752"/>
      <c r="N29" s="752"/>
      <c r="O29" s="752"/>
      <c r="P29" s="752"/>
      <c r="Q29" s="752"/>
      <c r="R29" s="752"/>
      <c r="S29" s="752"/>
      <c r="T29" s="752"/>
      <c r="U29" s="752"/>
      <c r="V29" s="752"/>
      <c r="W29" s="752"/>
      <c r="X29" s="752"/>
      <c r="Y29" s="753"/>
    </row>
    <row r="30" spans="1:25" s="128" customFormat="1" ht="24" customHeight="1">
      <c r="A30" s="877"/>
      <c r="B30" s="905"/>
      <c r="C30" s="1099" t="s">
        <v>1031</v>
      </c>
      <c r="D30" s="1103"/>
      <c r="E30" s="1097"/>
      <c r="F30" s="1086"/>
      <c r="G30" s="1087"/>
      <c r="H30" s="1088"/>
      <c r="I30" s="1089"/>
      <c r="J30" s="904"/>
      <c r="K30" s="877"/>
      <c r="L30" s="751"/>
      <c r="M30" s="752"/>
      <c r="N30" s="752"/>
      <c r="O30" s="752"/>
      <c r="P30" s="752"/>
      <c r="Q30" s="752"/>
      <c r="R30" s="752"/>
      <c r="S30" s="752"/>
      <c r="T30" s="752"/>
      <c r="U30" s="752"/>
      <c r="V30" s="752"/>
      <c r="W30" s="752"/>
      <c r="X30" s="752"/>
      <c r="Y30" s="753"/>
    </row>
    <row r="31" spans="1:25" s="128" customFormat="1" ht="36.950000000000003" customHeight="1">
      <c r="A31" s="877"/>
      <c r="B31" s="905"/>
      <c r="C31" s="1414" t="s">
        <v>1032</v>
      </c>
      <c r="D31" s="1415"/>
      <c r="E31" s="1416"/>
      <c r="F31" s="1086"/>
      <c r="G31" s="1087"/>
      <c r="H31" s="1088"/>
      <c r="I31" s="1089"/>
      <c r="J31" s="904"/>
      <c r="K31" s="877"/>
      <c r="L31" s="751"/>
      <c r="M31" s="752"/>
      <c r="N31" s="752"/>
      <c r="O31" s="752"/>
      <c r="P31" s="752"/>
      <c r="Q31" s="752"/>
      <c r="R31" s="752"/>
      <c r="S31" s="752"/>
      <c r="T31" s="752"/>
      <c r="U31" s="752"/>
      <c r="V31" s="752"/>
      <c r="W31" s="752"/>
      <c r="X31" s="752"/>
      <c r="Y31" s="753"/>
    </row>
    <row r="32" spans="1:25" s="128" customFormat="1" ht="35.1" customHeight="1">
      <c r="A32" s="877"/>
      <c r="B32" s="905"/>
      <c r="C32" s="1414" t="s">
        <v>1033</v>
      </c>
      <c r="D32" s="1415"/>
      <c r="E32" s="1416"/>
      <c r="F32" s="1086"/>
      <c r="G32" s="1087"/>
      <c r="H32" s="1088"/>
      <c r="I32" s="1089"/>
      <c r="J32" s="904"/>
      <c r="K32" s="877"/>
      <c r="L32" s="751"/>
      <c r="M32" s="752"/>
      <c r="N32" s="752"/>
      <c r="O32" s="752"/>
      <c r="P32" s="752"/>
      <c r="Q32" s="752"/>
      <c r="R32" s="752"/>
      <c r="S32" s="752"/>
      <c r="T32" s="752"/>
      <c r="U32" s="752"/>
      <c r="V32" s="752"/>
      <c r="W32" s="752"/>
      <c r="X32" s="752"/>
      <c r="Y32" s="753"/>
    </row>
    <row r="33" spans="1:25" s="128" customFormat="1" ht="24" customHeight="1">
      <c r="A33" s="877"/>
      <c r="B33" s="905"/>
      <c r="C33" s="1099" t="s">
        <v>1034</v>
      </c>
      <c r="D33" s="1103"/>
      <c r="E33" s="1097"/>
      <c r="F33" s="1086"/>
      <c r="G33" s="1087"/>
      <c r="H33" s="1088"/>
      <c r="I33" s="1089"/>
      <c r="J33" s="904"/>
      <c r="K33" s="877"/>
      <c r="L33" s="751"/>
      <c r="M33" s="752"/>
      <c r="N33" s="752"/>
      <c r="O33" s="752"/>
      <c r="P33" s="752"/>
      <c r="Q33" s="752"/>
      <c r="R33" s="752"/>
      <c r="S33" s="752"/>
      <c r="T33" s="752"/>
      <c r="U33" s="752"/>
      <c r="V33" s="752"/>
      <c r="W33" s="752"/>
      <c r="X33" s="752"/>
      <c r="Y33" s="753"/>
    </row>
    <row r="34" spans="1:25" s="128" customFormat="1" ht="24" customHeight="1" thickBot="1">
      <c r="A34" s="877"/>
      <c r="B34" s="905"/>
      <c r="C34" s="317" t="s">
        <v>1035</v>
      </c>
      <c r="D34" s="318"/>
      <c r="E34" s="1098"/>
      <c r="F34" s="119">
        <f>F17+SUM(F20:F22)+SUM(F28:F33)</f>
        <v>1500000</v>
      </c>
      <c r="G34" s="119">
        <f>G17+SUM(G20:G22)+SUM(G28:G33)</f>
        <v>0</v>
      </c>
      <c r="H34" s="119">
        <f>H17+SUM(H20:H22)+SUM(H28:H33)</f>
        <v>0</v>
      </c>
      <c r="I34" s="119">
        <f>I17+SUM(I20:I22)+SUM(I28:I33)</f>
        <v>0</v>
      </c>
      <c r="J34" s="904"/>
      <c r="K34" s="877"/>
      <c r="L34" s="751"/>
      <c r="M34" s="752"/>
      <c r="N34" s="752"/>
      <c r="O34" s="752"/>
      <c r="P34" s="752"/>
      <c r="Q34" s="752"/>
      <c r="R34" s="752"/>
      <c r="S34" s="752"/>
      <c r="T34" s="752"/>
      <c r="U34" s="752"/>
      <c r="V34" s="752"/>
      <c r="W34" s="752"/>
      <c r="X34" s="752"/>
      <c r="Y34" s="753"/>
    </row>
    <row r="35" spans="1:25" s="128" customFormat="1" ht="24" customHeight="1">
      <c r="A35" s="877"/>
      <c r="B35" s="905"/>
      <c r="C35" s="1099" t="s">
        <v>1036</v>
      </c>
      <c r="D35" s="1095"/>
      <c r="E35" s="1097"/>
      <c r="F35" s="929"/>
      <c r="G35" s="1046"/>
      <c r="H35" s="1002"/>
      <c r="I35" s="1047"/>
      <c r="J35" s="904"/>
      <c r="K35" s="877"/>
      <c r="L35" s="751"/>
      <c r="M35" s="752"/>
      <c r="N35" s="752"/>
      <c r="O35" s="752"/>
      <c r="P35" s="752"/>
      <c r="Q35" s="752"/>
      <c r="R35" s="752"/>
      <c r="S35" s="752"/>
      <c r="T35" s="752"/>
      <c r="U35" s="752"/>
      <c r="V35" s="752"/>
      <c r="W35" s="752"/>
      <c r="X35" s="752"/>
      <c r="Y35" s="753"/>
    </row>
    <row r="36" spans="1:25" s="128" customFormat="1" ht="35.1" customHeight="1">
      <c r="A36" s="877"/>
      <c r="B36" s="905"/>
      <c r="C36" s="1430" t="s">
        <v>1037</v>
      </c>
      <c r="D36" s="1431"/>
      <c r="E36" s="1432"/>
      <c r="F36" s="929"/>
      <c r="G36" s="1046"/>
      <c r="H36" s="1002"/>
      <c r="I36" s="1047"/>
      <c r="J36" s="904"/>
      <c r="K36" s="877"/>
      <c r="L36" s="751"/>
      <c r="M36" s="752"/>
      <c r="N36" s="752"/>
      <c r="O36" s="752"/>
      <c r="P36" s="752"/>
      <c r="Q36" s="752"/>
      <c r="R36" s="752"/>
      <c r="S36" s="752"/>
      <c r="T36" s="752"/>
      <c r="U36" s="752"/>
      <c r="V36" s="752"/>
      <c r="W36" s="752"/>
      <c r="X36" s="752"/>
      <c r="Y36" s="753"/>
    </row>
    <row r="37" spans="1:25" s="128" customFormat="1" ht="35.1" customHeight="1">
      <c r="A37" s="877"/>
      <c r="B37" s="905"/>
      <c r="C37" s="1430" t="s">
        <v>1038</v>
      </c>
      <c r="D37" s="1431"/>
      <c r="E37" s="1432"/>
      <c r="F37" s="929"/>
      <c r="G37" s="1046"/>
      <c r="H37" s="1002"/>
      <c r="I37" s="1047"/>
      <c r="J37" s="904"/>
      <c r="K37" s="877"/>
      <c r="L37" s="751"/>
      <c r="M37" s="752"/>
      <c r="N37" s="752"/>
      <c r="O37" s="752"/>
      <c r="P37" s="752"/>
      <c r="Q37" s="752"/>
      <c r="R37" s="752"/>
      <c r="S37" s="752"/>
      <c r="T37" s="752"/>
      <c r="U37" s="752"/>
      <c r="V37" s="752"/>
      <c r="W37" s="752"/>
      <c r="X37" s="752"/>
      <c r="Y37" s="753"/>
    </row>
    <row r="38" spans="1:25" s="128" customFormat="1" ht="35.1" customHeight="1">
      <c r="A38" s="877"/>
      <c r="B38" s="905"/>
      <c r="C38" s="1430" t="s">
        <v>1039</v>
      </c>
      <c r="D38" s="1431"/>
      <c r="E38" s="1432"/>
      <c r="F38" s="929"/>
      <c r="G38" s="1046"/>
      <c r="H38" s="1002"/>
      <c r="I38" s="1047"/>
      <c r="J38" s="904"/>
      <c r="K38" s="877"/>
      <c r="L38" s="751"/>
      <c r="M38" s="752"/>
      <c r="N38" s="752"/>
      <c r="O38" s="752"/>
      <c r="P38" s="752"/>
      <c r="Q38" s="752"/>
      <c r="R38" s="752"/>
      <c r="S38" s="752"/>
      <c r="T38" s="752"/>
      <c r="U38" s="752"/>
      <c r="V38" s="752"/>
      <c r="W38" s="752"/>
      <c r="X38" s="752"/>
      <c r="Y38" s="753"/>
    </row>
    <row r="39" spans="1:25" s="128" customFormat="1" ht="24" customHeight="1" thickBot="1">
      <c r="A39" s="877"/>
      <c r="B39" s="905"/>
      <c r="C39" s="317" t="s">
        <v>1040</v>
      </c>
      <c r="D39" s="318"/>
      <c r="E39" s="1098"/>
      <c r="F39" s="119">
        <f>SUM(F35:F38)</f>
        <v>0</v>
      </c>
      <c r="G39" s="119">
        <f>SUM(G35:G38)</f>
        <v>0</v>
      </c>
      <c r="H39" s="119">
        <f>SUM(H35:H38)</f>
        <v>0</v>
      </c>
      <c r="I39" s="119">
        <f>SUM(I35:I38)</f>
        <v>0</v>
      </c>
      <c r="J39" s="904"/>
      <c r="K39" s="877"/>
      <c r="L39" s="751"/>
      <c r="M39" s="752"/>
      <c r="N39" s="752"/>
      <c r="O39" s="752"/>
      <c r="P39" s="752"/>
      <c r="Q39" s="752"/>
      <c r="R39" s="752"/>
      <c r="S39" s="752"/>
      <c r="T39" s="752"/>
      <c r="U39" s="752"/>
      <c r="V39" s="752"/>
      <c r="W39" s="752"/>
      <c r="X39" s="752"/>
      <c r="Y39" s="753"/>
    </row>
    <row r="40" spans="1:25" s="128" customFormat="1" ht="39.950000000000003" customHeight="1" thickBot="1">
      <c r="A40" s="877"/>
      <c r="B40" s="905"/>
      <c r="C40" s="1433" t="s">
        <v>1041</v>
      </c>
      <c r="D40" s="1434"/>
      <c r="E40" s="1435"/>
      <c r="F40" s="119">
        <f>F41+F42</f>
        <v>0</v>
      </c>
      <c r="G40" s="119">
        <f>G41+G42</f>
        <v>0</v>
      </c>
      <c r="H40" s="119">
        <f>H41+H42</f>
        <v>0</v>
      </c>
      <c r="I40" s="119">
        <f>I41+I42</f>
        <v>0</v>
      </c>
      <c r="J40" s="904"/>
      <c r="K40" s="877"/>
      <c r="L40" s="751"/>
      <c r="M40" s="752"/>
      <c r="N40" s="752"/>
      <c r="O40" s="752"/>
      <c r="P40" s="752"/>
      <c r="Q40" s="752"/>
      <c r="R40" s="752"/>
      <c r="S40" s="752"/>
      <c r="T40" s="752"/>
      <c r="U40" s="752"/>
      <c r="V40" s="752"/>
      <c r="W40" s="752"/>
      <c r="X40" s="752"/>
      <c r="Y40" s="753"/>
    </row>
    <row r="41" spans="1:25" s="128" customFormat="1" ht="24" customHeight="1">
      <c r="A41" s="877"/>
      <c r="B41" s="905"/>
      <c r="C41" s="1102" t="s">
        <v>1042</v>
      </c>
      <c r="D41" s="1095"/>
      <c r="E41" s="1097"/>
      <c r="F41" s="929"/>
      <c r="G41" s="1046"/>
      <c r="H41" s="1002"/>
      <c r="I41" s="1047"/>
      <c r="J41" s="904"/>
      <c r="K41" s="877"/>
      <c r="L41" s="751"/>
      <c r="M41" s="752"/>
      <c r="N41" s="752"/>
      <c r="O41" s="752"/>
      <c r="P41" s="752"/>
      <c r="Q41" s="752"/>
      <c r="R41" s="752"/>
      <c r="S41" s="752"/>
      <c r="T41" s="752"/>
      <c r="U41" s="752"/>
      <c r="V41" s="752"/>
      <c r="W41" s="752"/>
      <c r="X41" s="752"/>
      <c r="Y41" s="753"/>
    </row>
    <row r="42" spans="1:25" s="128" customFormat="1" ht="24" customHeight="1">
      <c r="A42" s="877"/>
      <c r="B42" s="905"/>
      <c r="C42" s="1104" t="s">
        <v>1043</v>
      </c>
      <c r="D42" s="985"/>
      <c r="E42" s="122"/>
      <c r="F42" s="929"/>
      <c r="G42" s="1046"/>
      <c r="H42" s="1002"/>
      <c r="I42" s="1047"/>
      <c r="J42" s="904"/>
      <c r="K42" s="877"/>
      <c r="L42" s="751"/>
      <c r="M42" s="752"/>
      <c r="N42" s="752"/>
      <c r="O42" s="752"/>
      <c r="P42" s="752"/>
      <c r="Q42" s="752"/>
      <c r="R42" s="752"/>
      <c r="S42" s="752"/>
      <c r="T42" s="752"/>
      <c r="U42" s="752"/>
      <c r="V42" s="752"/>
      <c r="W42" s="752"/>
      <c r="X42" s="752"/>
      <c r="Y42" s="753"/>
    </row>
    <row r="43" spans="1:25" s="128" customFormat="1" ht="39.950000000000003" customHeight="1" thickBot="1">
      <c r="A43" s="877"/>
      <c r="B43" s="905"/>
      <c r="C43" s="1426" t="s">
        <v>1044</v>
      </c>
      <c r="D43" s="1427"/>
      <c r="E43" s="1428"/>
      <c r="F43" s="119">
        <f>SUM(F44:F47)</f>
        <v>0</v>
      </c>
      <c r="G43" s="119">
        <f>SUM(G44:G47)</f>
        <v>0</v>
      </c>
      <c r="H43" s="119">
        <f>SUM(H44:H47)</f>
        <v>0</v>
      </c>
      <c r="I43" s="119">
        <f>SUM(I44:I47)</f>
        <v>0</v>
      </c>
      <c r="J43" s="904"/>
      <c r="K43" s="877"/>
      <c r="L43" s="751"/>
      <c r="M43" s="752"/>
      <c r="N43" s="752"/>
      <c r="O43" s="752"/>
      <c r="P43" s="752"/>
      <c r="Q43" s="752"/>
      <c r="R43" s="752"/>
      <c r="S43" s="752"/>
      <c r="T43" s="752"/>
      <c r="U43" s="752"/>
      <c r="V43" s="752"/>
      <c r="W43" s="752"/>
      <c r="X43" s="752"/>
      <c r="Y43" s="753"/>
    </row>
    <row r="44" spans="1:25" s="128" customFormat="1" ht="24" customHeight="1">
      <c r="A44" s="877"/>
      <c r="B44" s="905"/>
      <c r="C44" s="1102" t="s">
        <v>1045</v>
      </c>
      <c r="D44" s="1105"/>
      <c r="E44" s="1106"/>
      <c r="F44" s="929"/>
      <c r="G44" s="1046"/>
      <c r="H44" s="1002"/>
      <c r="I44" s="1047"/>
      <c r="J44" s="904"/>
      <c r="K44" s="877"/>
      <c r="L44" s="751"/>
      <c r="M44" s="752"/>
      <c r="N44" s="752"/>
      <c r="O44" s="752"/>
      <c r="P44" s="752"/>
      <c r="Q44" s="752"/>
      <c r="R44" s="752"/>
      <c r="S44" s="752"/>
      <c r="T44" s="752"/>
      <c r="U44" s="752"/>
      <c r="V44" s="752"/>
      <c r="W44" s="752"/>
      <c r="X44" s="752"/>
      <c r="Y44" s="753"/>
    </row>
    <row r="45" spans="1:25" s="128" customFormat="1" ht="24" customHeight="1">
      <c r="A45" s="877"/>
      <c r="B45" s="905"/>
      <c r="C45" s="1102" t="s">
        <v>1046</v>
      </c>
      <c r="D45" s="1105"/>
      <c r="E45" s="1106"/>
      <c r="F45" s="929"/>
      <c r="G45" s="1046"/>
      <c r="H45" s="1002"/>
      <c r="I45" s="1047"/>
      <c r="J45" s="904"/>
      <c r="K45" s="877"/>
      <c r="L45" s="751"/>
      <c r="M45" s="752"/>
      <c r="N45" s="752"/>
      <c r="O45" s="752"/>
      <c r="P45" s="752"/>
      <c r="Q45" s="752"/>
      <c r="R45" s="752"/>
      <c r="S45" s="752"/>
      <c r="T45" s="752"/>
      <c r="U45" s="752"/>
      <c r="V45" s="752"/>
      <c r="W45" s="752"/>
      <c r="X45" s="752"/>
      <c r="Y45" s="753"/>
    </row>
    <row r="46" spans="1:25" s="128" customFormat="1" ht="42" customHeight="1">
      <c r="A46" s="877"/>
      <c r="B46" s="905"/>
      <c r="C46" s="1411" t="s">
        <v>1047</v>
      </c>
      <c r="D46" s="1412"/>
      <c r="E46" s="1413"/>
      <c r="F46" s="929"/>
      <c r="G46" s="1046"/>
      <c r="H46" s="1002"/>
      <c r="I46" s="1047"/>
      <c r="J46" s="904"/>
      <c r="K46" s="877"/>
      <c r="L46" s="751"/>
      <c r="M46" s="752"/>
      <c r="N46" s="752"/>
      <c r="O46" s="752"/>
      <c r="P46" s="752"/>
      <c r="Q46" s="752"/>
      <c r="R46" s="752"/>
      <c r="S46" s="752"/>
      <c r="T46" s="752"/>
      <c r="U46" s="752"/>
      <c r="V46" s="752"/>
      <c r="W46" s="752"/>
      <c r="X46" s="752"/>
      <c r="Y46" s="753"/>
    </row>
    <row r="47" spans="1:25" s="128" customFormat="1" ht="24" customHeight="1">
      <c r="A47" s="877"/>
      <c r="B47" s="905"/>
      <c r="C47" s="1102" t="s">
        <v>1048</v>
      </c>
      <c r="D47" s="1105"/>
      <c r="E47" s="1106"/>
      <c r="F47" s="929"/>
      <c r="G47" s="1046"/>
      <c r="H47" s="1002"/>
      <c r="I47" s="1047"/>
      <c r="J47" s="904"/>
      <c r="K47" s="877"/>
      <c r="L47" s="751"/>
      <c r="M47" s="752"/>
      <c r="N47" s="752"/>
      <c r="O47" s="752"/>
      <c r="P47" s="752"/>
      <c r="Q47" s="752"/>
      <c r="R47" s="752"/>
      <c r="S47" s="752"/>
      <c r="T47" s="752"/>
      <c r="U47" s="752"/>
      <c r="V47" s="752"/>
      <c r="W47" s="752"/>
      <c r="X47" s="752"/>
      <c r="Y47" s="753"/>
    </row>
    <row r="48" spans="1:25" s="128" customFormat="1" ht="24" customHeight="1" thickBot="1">
      <c r="A48" s="877"/>
      <c r="B48" s="905"/>
      <c r="C48" s="317" t="s">
        <v>1049</v>
      </c>
      <c r="D48" s="318"/>
      <c r="E48" s="1098"/>
      <c r="F48" s="286"/>
      <c r="G48" s="287"/>
      <c r="H48" s="288"/>
      <c r="I48" s="293"/>
      <c r="J48" s="904"/>
      <c r="K48" s="877"/>
      <c r="L48" s="751"/>
      <c r="M48" s="752"/>
      <c r="N48" s="752"/>
      <c r="O48" s="752"/>
      <c r="P48" s="752"/>
      <c r="Q48" s="752"/>
      <c r="R48" s="752"/>
      <c r="S48" s="752"/>
      <c r="T48" s="752"/>
      <c r="U48" s="752"/>
      <c r="V48" s="752"/>
      <c r="W48" s="752"/>
      <c r="X48" s="752"/>
      <c r="Y48" s="753"/>
    </row>
    <row r="49" spans="1:25" s="128" customFormat="1" ht="38.1" customHeight="1" thickBot="1">
      <c r="A49" s="877"/>
      <c r="B49" s="905"/>
      <c r="C49" s="1417" t="s">
        <v>1050</v>
      </c>
      <c r="D49" s="1418"/>
      <c r="E49" s="1419"/>
      <c r="F49" s="1100">
        <f>F48+F43+F40+F39+F34</f>
        <v>1500000</v>
      </c>
      <c r="G49" s="1100">
        <f>G48+G43+G40+G39+G34</f>
        <v>0</v>
      </c>
      <c r="H49" s="1100">
        <f>H48+H43+H40+H39+H34</f>
        <v>0</v>
      </c>
      <c r="I49" s="1100">
        <f>I48+I43+I40+I39+I34</f>
        <v>0</v>
      </c>
      <c r="J49" s="904"/>
      <c r="K49" s="877"/>
      <c r="L49" s="751"/>
      <c r="M49" s="752"/>
      <c r="N49" s="752"/>
      <c r="O49" s="752"/>
      <c r="P49" s="752"/>
      <c r="Q49" s="752"/>
      <c r="R49" s="752"/>
      <c r="S49" s="752"/>
      <c r="T49" s="752"/>
      <c r="U49" s="752"/>
      <c r="V49" s="752"/>
      <c r="W49" s="752"/>
      <c r="X49" s="752"/>
      <c r="Y49" s="753"/>
    </row>
    <row r="50" spans="1:25" s="128" customFormat="1" ht="15" customHeight="1">
      <c r="A50" s="877"/>
      <c r="B50" s="905"/>
      <c r="C50" s="1101"/>
      <c r="D50" s="1101"/>
      <c r="E50" s="1101"/>
      <c r="F50" s="150"/>
      <c r="G50" s="150"/>
      <c r="H50" s="150"/>
      <c r="I50" s="150"/>
      <c r="J50" s="904"/>
      <c r="K50" s="877"/>
      <c r="L50" s="751"/>
      <c r="M50" s="752"/>
      <c r="N50" s="752"/>
      <c r="O50" s="752"/>
      <c r="P50" s="752"/>
      <c r="Q50" s="752"/>
      <c r="R50" s="752"/>
      <c r="S50" s="752"/>
      <c r="T50" s="752"/>
      <c r="U50" s="752"/>
      <c r="V50" s="752"/>
      <c r="W50" s="752"/>
      <c r="X50" s="752"/>
      <c r="Y50" s="753"/>
    </row>
    <row r="51" spans="1:25" s="128" customFormat="1" ht="15" customHeight="1">
      <c r="A51" s="877"/>
      <c r="B51" s="905"/>
      <c r="C51" s="1091"/>
      <c r="D51" s="1092"/>
      <c r="E51" s="1093"/>
      <c r="F51" s="152" t="s">
        <v>1011</v>
      </c>
      <c r="G51" s="1420" t="s">
        <v>1012</v>
      </c>
      <c r="H51" s="1421"/>
      <c r="I51" s="1422"/>
      <c r="J51" s="904"/>
      <c r="K51" s="877"/>
      <c r="L51" s="751"/>
      <c r="M51" s="752"/>
      <c r="N51" s="752"/>
      <c r="O51" s="752"/>
      <c r="P51" s="752"/>
      <c r="Q51" s="752"/>
      <c r="R51" s="752"/>
      <c r="S51" s="752"/>
      <c r="T51" s="752"/>
      <c r="U51" s="752"/>
      <c r="V51" s="752"/>
      <c r="W51" s="752"/>
      <c r="X51" s="752"/>
      <c r="Y51" s="753"/>
    </row>
    <row r="52" spans="1:25" s="128" customFormat="1" ht="15" customHeight="1">
      <c r="A52" s="877"/>
      <c r="B52" s="905"/>
      <c r="C52" s="1084"/>
      <c r="D52" s="1085"/>
      <c r="E52" s="1094"/>
      <c r="F52" s="142" t="s">
        <v>1013</v>
      </c>
      <c r="G52" s="152" t="s">
        <v>1014</v>
      </c>
      <c r="H52" s="152" t="s">
        <v>1015</v>
      </c>
      <c r="I52" s="152" t="s">
        <v>1016</v>
      </c>
      <c r="J52" s="904"/>
      <c r="K52" s="877"/>
      <c r="L52" s="751"/>
      <c r="M52" s="752"/>
      <c r="N52" s="752"/>
      <c r="O52" s="752"/>
      <c r="P52" s="752"/>
      <c r="Q52" s="752"/>
      <c r="R52" s="752"/>
      <c r="S52" s="752"/>
      <c r="T52" s="752"/>
      <c r="U52" s="752"/>
      <c r="V52" s="752"/>
      <c r="W52" s="752"/>
      <c r="X52" s="752"/>
      <c r="Y52" s="753"/>
    </row>
    <row r="53" spans="1:25" s="128" customFormat="1" ht="15" customHeight="1">
      <c r="A53" s="877"/>
      <c r="B53" s="905"/>
      <c r="C53" s="1423" t="s">
        <v>1017</v>
      </c>
      <c r="D53" s="1424"/>
      <c r="E53" s="1425"/>
      <c r="F53" s="137">
        <f>ejercicio</f>
        <v>2025</v>
      </c>
      <c r="G53" s="137">
        <f>ejercicio</f>
        <v>2025</v>
      </c>
      <c r="H53" s="137">
        <f>ejercicio</f>
        <v>2025</v>
      </c>
      <c r="I53" s="137">
        <f>ejercicio</f>
        <v>2025</v>
      </c>
      <c r="J53" s="904"/>
      <c r="K53" s="877"/>
      <c r="L53" s="751"/>
      <c r="M53" s="752"/>
      <c r="N53" s="752"/>
      <c r="O53" s="752"/>
      <c r="P53" s="752"/>
      <c r="Q53" s="752"/>
      <c r="R53" s="752"/>
      <c r="S53" s="752"/>
      <c r="T53" s="752"/>
      <c r="U53" s="752"/>
      <c r="V53" s="752"/>
      <c r="W53" s="752"/>
      <c r="X53" s="752"/>
      <c r="Y53" s="753"/>
    </row>
    <row r="54" spans="1:25" s="128" customFormat="1" ht="9" customHeight="1">
      <c r="A54" s="877"/>
      <c r="B54" s="905"/>
      <c r="C54" s="1101"/>
      <c r="D54" s="1101"/>
      <c r="E54" s="1101"/>
      <c r="F54" s="150"/>
      <c r="G54" s="150"/>
      <c r="H54" s="150"/>
      <c r="I54" s="150"/>
      <c r="J54" s="904"/>
      <c r="K54" s="877"/>
      <c r="L54" s="751"/>
      <c r="M54" s="752"/>
      <c r="N54" s="752"/>
      <c r="O54" s="752"/>
      <c r="P54" s="752"/>
      <c r="Q54" s="752"/>
      <c r="R54" s="752"/>
      <c r="S54" s="752"/>
      <c r="T54" s="752"/>
      <c r="U54" s="752"/>
      <c r="V54" s="752"/>
      <c r="W54" s="752"/>
      <c r="X54" s="752"/>
      <c r="Y54" s="753"/>
    </row>
    <row r="55" spans="1:25" s="128" customFormat="1" ht="24" customHeight="1">
      <c r="A55" s="877"/>
      <c r="B55" s="905"/>
      <c r="C55" s="1414" t="s">
        <v>1051</v>
      </c>
      <c r="D55" s="1415"/>
      <c r="E55" s="1416"/>
      <c r="F55" s="1086"/>
      <c r="G55" s="1087"/>
      <c r="H55" s="1088"/>
      <c r="I55" s="1089"/>
      <c r="J55" s="904"/>
      <c r="K55" s="877"/>
      <c r="L55" s="751"/>
      <c r="M55" s="752"/>
      <c r="N55" s="752"/>
      <c r="O55" s="752"/>
      <c r="P55" s="752"/>
      <c r="Q55" s="752"/>
      <c r="R55" s="752"/>
      <c r="S55" s="752"/>
      <c r="T55" s="752"/>
      <c r="U55" s="752"/>
      <c r="V55" s="752"/>
      <c r="W55" s="752"/>
      <c r="X55" s="752"/>
      <c r="Y55" s="753"/>
    </row>
    <row r="56" spans="1:25" s="128" customFormat="1" ht="38.1" customHeight="1">
      <c r="A56" s="877"/>
      <c r="B56" s="905"/>
      <c r="C56" s="1414" t="s">
        <v>1052</v>
      </c>
      <c r="D56" s="1415"/>
      <c r="E56" s="1416"/>
      <c r="F56" s="1086">
        <f>SUM(F57:F60)</f>
        <v>0</v>
      </c>
      <c r="G56" s="1087">
        <f>SUM(G57:G60)</f>
        <v>0</v>
      </c>
      <c r="H56" s="1087">
        <f>SUM(H57:H60)</f>
        <v>0</v>
      </c>
      <c r="I56" s="1087">
        <f>SUM(I57:I60)</f>
        <v>0</v>
      </c>
      <c r="J56" s="904"/>
      <c r="K56" s="877"/>
      <c r="L56" s="751"/>
      <c r="M56" s="752"/>
      <c r="N56" s="752"/>
      <c r="O56" s="752"/>
      <c r="P56" s="752"/>
      <c r="Q56" s="752"/>
      <c r="R56" s="752"/>
      <c r="S56" s="752"/>
      <c r="T56" s="752"/>
      <c r="U56" s="752"/>
      <c r="V56" s="752"/>
      <c r="W56" s="752"/>
      <c r="X56" s="752"/>
      <c r="Y56" s="753"/>
    </row>
    <row r="57" spans="1:25" s="128" customFormat="1" ht="38.1" customHeight="1">
      <c r="A57" s="877"/>
      <c r="B57" s="905"/>
      <c r="C57" s="1411" t="s">
        <v>1053</v>
      </c>
      <c r="D57" s="1412"/>
      <c r="E57" s="1413"/>
      <c r="F57" s="929"/>
      <c r="G57" s="1046"/>
      <c r="H57" s="1002"/>
      <c r="I57" s="1047"/>
      <c r="J57" s="904"/>
      <c r="K57" s="877"/>
      <c r="L57" s="751"/>
      <c r="M57" s="752"/>
      <c r="N57" s="752"/>
      <c r="O57" s="752"/>
      <c r="P57" s="752"/>
      <c r="Q57" s="752"/>
      <c r="R57" s="752"/>
      <c r="S57" s="752"/>
      <c r="T57" s="752"/>
      <c r="U57" s="752"/>
      <c r="V57" s="752"/>
      <c r="W57" s="752"/>
      <c r="X57" s="752"/>
      <c r="Y57" s="753"/>
    </row>
    <row r="58" spans="1:25" s="128" customFormat="1" ht="38.1" customHeight="1">
      <c r="A58" s="877"/>
      <c r="B58" s="905"/>
      <c r="C58" s="1411" t="s">
        <v>1054</v>
      </c>
      <c r="D58" s="1412"/>
      <c r="E58" s="1413"/>
      <c r="F58" s="929"/>
      <c r="G58" s="1046"/>
      <c r="H58" s="1002"/>
      <c r="I58" s="1047"/>
      <c r="J58" s="904"/>
      <c r="K58" s="877"/>
      <c r="L58" s="751"/>
      <c r="M58" s="752"/>
      <c r="N58" s="752"/>
      <c r="O58" s="752"/>
      <c r="P58" s="752"/>
      <c r="Q58" s="752"/>
      <c r="R58" s="752"/>
      <c r="S58" s="752"/>
      <c r="T58" s="752"/>
      <c r="U58" s="752"/>
      <c r="V58" s="752"/>
      <c r="W58" s="752"/>
      <c r="X58" s="752"/>
      <c r="Y58" s="753"/>
    </row>
    <row r="59" spans="1:25" s="128" customFormat="1" ht="38.1" customHeight="1">
      <c r="A59" s="877"/>
      <c r="B59" s="905"/>
      <c r="C59" s="1411" t="s">
        <v>1055</v>
      </c>
      <c r="D59" s="1412"/>
      <c r="E59" s="1413"/>
      <c r="F59" s="929"/>
      <c r="G59" s="1046"/>
      <c r="H59" s="1002"/>
      <c r="I59" s="1047"/>
      <c r="J59" s="904"/>
      <c r="K59" s="877"/>
      <c r="L59" s="751"/>
      <c r="M59" s="752"/>
      <c r="N59" s="752"/>
      <c r="O59" s="752"/>
      <c r="P59" s="752"/>
      <c r="Q59" s="752"/>
      <c r="R59" s="752"/>
      <c r="S59" s="752"/>
      <c r="T59" s="752"/>
      <c r="U59" s="752"/>
      <c r="V59" s="752"/>
      <c r="W59" s="752"/>
      <c r="X59" s="752"/>
      <c r="Y59" s="753"/>
    </row>
    <row r="60" spans="1:25" s="128" customFormat="1" ht="21.95" customHeight="1">
      <c r="A60" s="877"/>
      <c r="B60" s="905"/>
      <c r="C60" s="1411" t="s">
        <v>602</v>
      </c>
      <c r="D60" s="1412"/>
      <c r="E60" s="1413"/>
      <c r="F60" s="907"/>
      <c r="G60" s="1044"/>
      <c r="H60" s="983"/>
      <c r="I60" s="1045"/>
      <c r="J60" s="904"/>
      <c r="K60" s="877"/>
      <c r="L60" s="751"/>
      <c r="M60" s="752"/>
      <c r="N60" s="752"/>
      <c r="O60" s="752"/>
      <c r="P60" s="752"/>
      <c r="Q60" s="752"/>
      <c r="R60" s="752"/>
      <c r="S60" s="752"/>
      <c r="T60" s="752"/>
      <c r="U60" s="752"/>
      <c r="V60" s="752"/>
      <c r="W60" s="752"/>
      <c r="X60" s="752"/>
      <c r="Y60" s="753"/>
    </row>
    <row r="61" spans="1:25" ht="23.1" customHeight="1">
      <c r="B61" s="80"/>
      <c r="C61" s="597"/>
      <c r="D61" s="597"/>
      <c r="E61" s="150"/>
      <c r="F61" s="494"/>
      <c r="G61" s="150"/>
      <c r="H61" s="150"/>
      <c r="I61" s="431"/>
      <c r="J61" s="72"/>
      <c r="L61" s="751"/>
      <c r="M61" s="752"/>
      <c r="N61" s="752"/>
      <c r="O61" s="752"/>
      <c r="P61" s="752"/>
      <c r="Q61" s="752"/>
      <c r="R61" s="752"/>
      <c r="S61" s="752"/>
      <c r="T61" s="752"/>
      <c r="U61" s="752"/>
      <c r="V61" s="752"/>
      <c r="W61" s="752"/>
      <c r="X61" s="752"/>
      <c r="Y61" s="753"/>
    </row>
    <row r="62" spans="1:25" ht="23.1" customHeight="1">
      <c r="B62" s="80"/>
      <c r="C62" s="117" t="s">
        <v>1056</v>
      </c>
      <c r="D62" s="115"/>
      <c r="E62" s="116"/>
      <c r="F62" s="116"/>
      <c r="G62" s="116"/>
      <c r="H62" s="116"/>
      <c r="I62" s="64"/>
      <c r="J62" s="72"/>
      <c r="L62" s="751"/>
      <c r="M62" s="752"/>
      <c r="N62" s="752"/>
      <c r="O62" s="752"/>
      <c r="P62" s="752"/>
      <c r="Q62" s="752"/>
      <c r="R62" s="752"/>
      <c r="S62" s="752"/>
      <c r="T62" s="752"/>
      <c r="U62" s="752"/>
      <c r="V62" s="752"/>
      <c r="W62" s="752"/>
      <c r="X62" s="752"/>
      <c r="Y62" s="753"/>
    </row>
    <row r="63" spans="1:25" ht="51.95" customHeight="1">
      <c r="B63" s="80"/>
      <c r="C63" s="1429" t="s">
        <v>1057</v>
      </c>
      <c r="D63" s="1429"/>
      <c r="E63" s="1429"/>
      <c r="F63" s="1429"/>
      <c r="G63" s="1429"/>
      <c r="H63" s="1429"/>
      <c r="I63" s="1429"/>
      <c r="J63" s="72"/>
      <c r="L63" s="751"/>
      <c r="M63" s="752"/>
      <c r="N63" s="752"/>
      <c r="O63" s="752"/>
      <c r="P63" s="752"/>
      <c r="Q63" s="752"/>
      <c r="R63" s="752"/>
      <c r="S63" s="752"/>
      <c r="T63" s="752"/>
      <c r="U63" s="752"/>
      <c r="V63" s="752"/>
      <c r="W63" s="752"/>
      <c r="X63" s="752"/>
      <c r="Y63" s="753"/>
    </row>
    <row r="64" spans="1:25" ht="18">
      <c r="B64" s="80"/>
      <c r="C64" s="634"/>
      <c r="D64" s="115"/>
      <c r="E64" s="116"/>
      <c r="F64" s="116"/>
      <c r="G64" s="116"/>
      <c r="H64" s="116"/>
      <c r="I64" s="64"/>
      <c r="J64" s="72"/>
      <c r="L64" s="751"/>
      <c r="M64" s="752"/>
      <c r="N64" s="752"/>
      <c r="O64" s="752"/>
      <c r="P64" s="752"/>
      <c r="Q64" s="752"/>
      <c r="R64" s="752"/>
      <c r="S64" s="752"/>
      <c r="T64" s="752"/>
      <c r="U64" s="752"/>
      <c r="V64" s="752"/>
      <c r="W64" s="752"/>
      <c r="X64" s="752"/>
      <c r="Y64" s="753"/>
    </row>
    <row r="65" spans="2:25" ht="18">
      <c r="B65" s="80"/>
      <c r="C65" s="634"/>
      <c r="D65" s="115"/>
      <c r="E65" s="116"/>
      <c r="F65" s="116"/>
      <c r="G65" s="116"/>
      <c r="H65" s="116"/>
      <c r="I65" s="64"/>
      <c r="J65" s="72"/>
      <c r="L65" s="751"/>
      <c r="M65" s="752"/>
      <c r="N65" s="752"/>
      <c r="O65" s="752"/>
      <c r="P65" s="752"/>
      <c r="Q65" s="752"/>
      <c r="R65" s="752"/>
      <c r="S65" s="752"/>
      <c r="T65" s="752"/>
      <c r="U65" s="752"/>
      <c r="V65" s="752"/>
      <c r="W65" s="752"/>
      <c r="X65" s="752"/>
      <c r="Y65" s="753"/>
    </row>
    <row r="66" spans="2:25" ht="23.1" customHeight="1" thickBot="1">
      <c r="B66" s="83"/>
      <c r="C66" s="1228"/>
      <c r="D66" s="1228"/>
      <c r="E66" s="1228"/>
      <c r="F66" s="1228"/>
      <c r="G66" s="33"/>
      <c r="H66" s="33"/>
      <c r="I66" s="84"/>
      <c r="J66" s="85"/>
      <c r="L66" s="764"/>
      <c r="M66" s="765"/>
      <c r="N66" s="765"/>
      <c r="O66" s="765"/>
      <c r="P66" s="765"/>
      <c r="Q66" s="765"/>
      <c r="R66" s="765"/>
      <c r="S66" s="765"/>
      <c r="T66" s="765"/>
      <c r="U66" s="765"/>
      <c r="V66" s="765"/>
      <c r="W66" s="765"/>
      <c r="X66" s="765"/>
      <c r="Y66" s="766"/>
    </row>
    <row r="67" spans="2:25" ht="23.1" customHeight="1">
      <c r="K67" s="65" t="s">
        <v>248</v>
      </c>
    </row>
    <row r="68" spans="2:25" ht="12.75">
      <c r="C68" s="86" t="s">
        <v>98</v>
      </c>
    </row>
    <row r="69" spans="2:25" ht="12.75">
      <c r="C69" s="86" t="s">
        <v>100</v>
      </c>
    </row>
    <row r="70" spans="2:25" ht="12.75">
      <c r="C70" s="86" t="s">
        <v>101</v>
      </c>
    </row>
    <row r="71" spans="2:25" ht="12.75">
      <c r="C71" s="86" t="s">
        <v>102</v>
      </c>
    </row>
    <row r="72" spans="2:25" ht="12.75">
      <c r="C72" s="86" t="s">
        <v>103</v>
      </c>
    </row>
    <row r="74" spans="2:25" ht="23.1" customHeight="1">
      <c r="C74" s="635"/>
    </row>
  </sheetData>
  <sheetProtection sheet="1" objects="1" scenarios="1"/>
  <mergeCells count="28">
    <mergeCell ref="C24:E24"/>
    <mergeCell ref="C36:E36"/>
    <mergeCell ref="C37:E37"/>
    <mergeCell ref="C38:E38"/>
    <mergeCell ref="C40:E40"/>
    <mergeCell ref="C31:E31"/>
    <mergeCell ref="C26:E26"/>
    <mergeCell ref="C66:F66"/>
    <mergeCell ref="G13:I13"/>
    <mergeCell ref="C15:E15"/>
    <mergeCell ref="I6:I7"/>
    <mergeCell ref="D9:I9"/>
    <mergeCell ref="C12:D12"/>
    <mergeCell ref="C63:I63"/>
    <mergeCell ref="C17:E17"/>
    <mergeCell ref="C22:E22"/>
    <mergeCell ref="C32:E32"/>
    <mergeCell ref="C49:E49"/>
    <mergeCell ref="G51:I51"/>
    <mergeCell ref="C53:E53"/>
    <mergeCell ref="C43:E43"/>
    <mergeCell ref="C46:E46"/>
    <mergeCell ref="C58:E58"/>
    <mergeCell ref="C60:E60"/>
    <mergeCell ref="C59:E59"/>
    <mergeCell ref="C55:E55"/>
    <mergeCell ref="C56:E56"/>
    <mergeCell ref="C57:E57"/>
  </mergeCells>
  <phoneticPr fontId="5" type="noConversion"/>
  <printOptions horizontalCentered="1" verticalCentered="1"/>
  <pageMargins left="0.36000000000000004" right="0.36000000000000004" top="0.6100000000000001" bottom="0.6100000000000001" header="0.5" footer="0.5"/>
  <pageSetup paperSize="9" scale="43" orientation="portrait" horizontalDpi="4294967292" verticalDpi="4294967292" r:id="rId1"/>
  <drawing r:id="rId2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931B555-43AC-40FD-B89C-5303219EC67F}">
  <sheetPr codeName="Hoja17">
    <pageSetUpPr fitToPage="1"/>
  </sheetPr>
  <dimension ref="A2:AE70"/>
  <sheetViews>
    <sheetView topLeftCell="A11" zoomScaleNormal="100" zoomScalePageLayoutView="125" workbookViewId="0">
      <selection activeCell="K22" sqref="G22:K22"/>
    </sheetView>
  </sheetViews>
  <sheetFormatPr baseColWidth="10" defaultColWidth="10.6640625" defaultRowHeight="23.1" customHeight="1"/>
  <cols>
    <col min="1" max="1" width="4.109375" style="65" bestFit="1" customWidth="1"/>
    <col min="2" max="2" width="3.109375" style="65" customWidth="1"/>
    <col min="3" max="3" width="13.5546875" style="65" customWidth="1"/>
    <col min="4" max="4" width="33.44140625" style="65" customWidth="1"/>
    <col min="5" max="15" width="13.44140625" style="66" customWidth="1"/>
    <col min="16" max="16" width="3.33203125" style="65" customWidth="1"/>
    <col min="17" max="16384" width="10.6640625" style="65"/>
  </cols>
  <sheetData>
    <row r="2" spans="1:31" ht="23.1" customHeight="1">
      <c r="D2" s="391" t="str">
        <f>_GENERAL!D2</f>
        <v>Área de la Presidenta: Igualdad y Diversidad, Hacienda y Proyectos Estratégicos</v>
      </c>
    </row>
    <row r="3" spans="1:31" ht="23.1" customHeight="1">
      <c r="D3" s="391" t="str">
        <f>_GENERAL!D3</f>
        <v>Dirección Insular de Hacienda</v>
      </c>
    </row>
    <row r="4" spans="1:31" ht="23.1" customHeight="1" thickBot="1">
      <c r="A4" s="65" t="s">
        <v>195</v>
      </c>
    </row>
    <row r="5" spans="1:31" ht="9" customHeight="1">
      <c r="B5" s="67"/>
      <c r="C5" s="68"/>
      <c r="D5" s="68"/>
      <c r="E5" s="69"/>
      <c r="F5" s="69"/>
      <c r="G5" s="69"/>
      <c r="H5" s="69"/>
      <c r="I5" s="69"/>
      <c r="J5" s="69"/>
      <c r="K5" s="69"/>
      <c r="L5" s="69"/>
      <c r="M5" s="69"/>
      <c r="N5" s="69"/>
      <c r="O5" s="69"/>
      <c r="P5" s="70"/>
      <c r="R5" s="746"/>
      <c r="S5" s="747"/>
      <c r="T5" s="747"/>
      <c r="U5" s="747"/>
      <c r="V5" s="747"/>
      <c r="W5" s="747"/>
      <c r="X5" s="747"/>
      <c r="Y5" s="747"/>
      <c r="Z5" s="747"/>
      <c r="AA5" s="747"/>
      <c r="AB5" s="747"/>
      <c r="AC5" s="747"/>
      <c r="AD5" s="747"/>
      <c r="AE5" s="744"/>
    </row>
    <row r="6" spans="1:31" ht="30" customHeight="1">
      <c r="B6" s="71"/>
      <c r="C6" s="40" t="s">
        <v>2</v>
      </c>
      <c r="O6" s="1212">
        <f>ejercicio</f>
        <v>2025</v>
      </c>
      <c r="P6" s="72"/>
      <c r="R6" s="754"/>
      <c r="S6" s="755" t="s">
        <v>196</v>
      </c>
      <c r="T6" s="756"/>
      <c r="U6" s="756"/>
      <c r="V6" s="756"/>
      <c r="W6" s="756"/>
      <c r="X6" s="756"/>
      <c r="Y6" s="756"/>
      <c r="Z6" s="756"/>
      <c r="AA6" s="756"/>
      <c r="AB6" s="756"/>
      <c r="AC6" s="756"/>
      <c r="AD6" s="756"/>
      <c r="AE6" s="255"/>
    </row>
    <row r="7" spans="1:31" ht="30" customHeight="1">
      <c r="B7" s="71"/>
      <c r="C7" s="40" t="s">
        <v>3</v>
      </c>
      <c r="O7" s="1212"/>
      <c r="P7" s="72"/>
      <c r="R7" s="771"/>
      <c r="S7" s="772"/>
      <c r="T7" s="772"/>
      <c r="U7" s="772"/>
      <c r="V7" s="772"/>
      <c r="W7" s="772"/>
      <c r="X7" s="772"/>
      <c r="Y7" s="772"/>
      <c r="Z7" s="772"/>
      <c r="AA7" s="772"/>
      <c r="AB7" s="772"/>
      <c r="AC7" s="772"/>
      <c r="AD7" s="772"/>
      <c r="AE7" s="773"/>
    </row>
    <row r="8" spans="1:31" ht="30" customHeight="1">
      <c r="B8" s="71"/>
      <c r="C8" s="73"/>
      <c r="O8" s="74"/>
      <c r="P8" s="72"/>
      <c r="R8" s="771"/>
      <c r="S8" s="772"/>
      <c r="T8" s="772"/>
      <c r="U8" s="772"/>
      <c r="V8" s="772"/>
      <c r="W8" s="772"/>
      <c r="X8" s="772"/>
      <c r="Y8" s="772"/>
      <c r="Z8" s="772"/>
      <c r="AA8" s="772"/>
      <c r="AB8" s="772"/>
      <c r="AC8" s="772"/>
      <c r="AD8" s="772"/>
      <c r="AE8" s="773"/>
    </row>
    <row r="9" spans="1:31" s="128" customFormat="1" ht="30" customHeight="1">
      <c r="A9" s="877"/>
      <c r="B9" s="905"/>
      <c r="C9" s="21" t="s">
        <v>105</v>
      </c>
      <c r="D9" s="1229" t="str">
        <f>Entidad</f>
        <v>(MERCATENERIFE) Mercados Centrales de Abastecimiento de Tenerife, S.A.</v>
      </c>
      <c r="E9" s="1229"/>
      <c r="F9" s="1229"/>
      <c r="G9" s="1229"/>
      <c r="H9" s="1229"/>
      <c r="I9" s="1229"/>
      <c r="J9" s="1229"/>
      <c r="K9" s="1229"/>
      <c r="L9" s="1229"/>
      <c r="M9" s="1229"/>
      <c r="N9" s="1229"/>
      <c r="O9" s="1229"/>
      <c r="P9" s="904"/>
      <c r="Q9" s="877"/>
      <c r="R9" s="771"/>
      <c r="S9" s="772"/>
      <c r="T9" s="772"/>
      <c r="U9" s="772"/>
      <c r="V9" s="772"/>
      <c r="W9" s="772"/>
      <c r="X9" s="772"/>
      <c r="Y9" s="772"/>
      <c r="Z9" s="772"/>
      <c r="AA9" s="772"/>
      <c r="AB9" s="772"/>
      <c r="AC9" s="772"/>
      <c r="AD9" s="772"/>
      <c r="AE9" s="773"/>
    </row>
    <row r="10" spans="1:31" ht="6.95" customHeight="1">
      <c r="B10" s="71"/>
      <c r="P10" s="72"/>
      <c r="R10" s="771"/>
      <c r="S10" s="772"/>
      <c r="T10" s="772"/>
      <c r="U10" s="772"/>
      <c r="V10" s="772"/>
      <c r="W10" s="772"/>
      <c r="X10" s="772"/>
      <c r="Y10" s="772"/>
      <c r="Z10" s="772"/>
      <c r="AA10" s="772"/>
      <c r="AB10" s="772"/>
      <c r="AC10" s="772"/>
      <c r="AD10" s="772"/>
      <c r="AE10" s="773"/>
    </row>
    <row r="11" spans="1:31" s="79" customFormat="1" ht="30" customHeight="1">
      <c r="B11" s="75"/>
      <c r="C11" s="76" t="s">
        <v>1058</v>
      </c>
      <c r="D11" s="76"/>
      <c r="E11" s="77"/>
      <c r="F11" s="77"/>
      <c r="G11" s="77"/>
      <c r="H11" s="77"/>
      <c r="I11" s="77"/>
      <c r="J11" s="77"/>
      <c r="K11" s="77"/>
      <c r="L11" s="77"/>
      <c r="M11" s="77"/>
      <c r="N11" s="77"/>
      <c r="O11" s="77"/>
      <c r="P11" s="78"/>
      <c r="R11" s="771"/>
      <c r="S11" s="772"/>
      <c r="T11" s="772"/>
      <c r="U11" s="772"/>
      <c r="V11" s="772"/>
      <c r="W11" s="772"/>
      <c r="X11" s="772"/>
      <c r="Y11" s="772"/>
      <c r="Z11" s="772"/>
      <c r="AA11" s="772"/>
      <c r="AB11" s="772"/>
      <c r="AC11" s="772"/>
      <c r="AD11" s="772"/>
      <c r="AE11" s="773"/>
    </row>
    <row r="12" spans="1:31" s="79" customFormat="1" ht="30" customHeight="1">
      <c r="B12" s="75"/>
      <c r="C12" s="1237"/>
      <c r="D12" s="1237"/>
      <c r="E12" s="64"/>
      <c r="F12" s="64"/>
      <c r="G12" s="64"/>
      <c r="H12" s="64"/>
      <c r="I12" s="64"/>
      <c r="J12" s="64"/>
      <c r="K12" s="64"/>
      <c r="L12" s="64"/>
      <c r="M12" s="64"/>
      <c r="N12" s="64"/>
      <c r="O12" s="64"/>
      <c r="P12" s="78"/>
      <c r="R12" s="771"/>
      <c r="S12" s="772"/>
      <c r="T12" s="772"/>
      <c r="U12" s="772"/>
      <c r="V12" s="772"/>
      <c r="W12" s="772"/>
      <c r="X12" s="772"/>
      <c r="Y12" s="772"/>
      <c r="Z12" s="772"/>
      <c r="AA12" s="772"/>
      <c r="AB12" s="772"/>
      <c r="AC12" s="772"/>
      <c r="AD12" s="772"/>
      <c r="AE12" s="773"/>
    </row>
    <row r="13" spans="1:31" s="79" customFormat="1" ht="18.95" customHeight="1">
      <c r="B13" s="75"/>
      <c r="C13" s="1444"/>
      <c r="D13" s="1445"/>
      <c r="E13" s="1446"/>
      <c r="F13" s="1439" t="s">
        <v>1059</v>
      </c>
      <c r="G13" s="1440"/>
      <c r="H13" s="1440"/>
      <c r="I13" s="1440"/>
      <c r="J13" s="1440"/>
      <c r="K13" s="1440"/>
      <c r="L13" s="1440"/>
      <c r="M13" s="1117">
        <f>ejercicio</f>
        <v>2025</v>
      </c>
      <c r="N13" s="1117"/>
      <c r="O13" s="1118"/>
      <c r="P13" s="78"/>
      <c r="R13" s="771"/>
      <c r="S13" s="772"/>
      <c r="T13" s="772"/>
      <c r="U13" s="772"/>
      <c r="V13" s="772"/>
      <c r="W13" s="772"/>
      <c r="X13" s="772"/>
      <c r="Y13" s="772"/>
      <c r="Z13" s="772"/>
      <c r="AA13" s="772"/>
      <c r="AB13" s="772"/>
      <c r="AC13" s="772"/>
      <c r="AD13" s="772"/>
      <c r="AE13" s="773"/>
    </row>
    <row r="14" spans="1:31" s="128" customFormat="1" ht="18.95" customHeight="1">
      <c r="A14" s="877"/>
      <c r="B14" s="905"/>
      <c r="C14" s="1423" t="s">
        <v>1017</v>
      </c>
      <c r="D14" s="1424"/>
      <c r="E14" s="1425"/>
      <c r="F14" s="1119">
        <f>ejercicio+1</f>
        <v>2026</v>
      </c>
      <c r="G14" s="1120">
        <f>ejercicio+2</f>
        <v>2027</v>
      </c>
      <c r="H14" s="1120">
        <f>ejercicio+3</f>
        <v>2028</v>
      </c>
      <c r="I14" s="1120">
        <f>ejercicio+4</f>
        <v>2029</v>
      </c>
      <c r="J14" s="1120">
        <f>ejercicio+5</f>
        <v>2030</v>
      </c>
      <c r="K14" s="1120">
        <f>ejercicio+6</f>
        <v>2031</v>
      </c>
      <c r="L14" s="1120">
        <f>ejercicio+7</f>
        <v>2032</v>
      </c>
      <c r="M14" s="1120">
        <f>ejercicio+8</f>
        <v>2033</v>
      </c>
      <c r="N14" s="1120">
        <f>ejercicio+9</f>
        <v>2034</v>
      </c>
      <c r="O14" s="1121">
        <f>ejercicio+10</f>
        <v>2035</v>
      </c>
      <c r="P14" s="904"/>
      <c r="Q14" s="877"/>
      <c r="R14" s="771"/>
      <c r="S14" s="772"/>
      <c r="T14" s="772"/>
      <c r="U14" s="772"/>
      <c r="V14" s="772"/>
      <c r="W14" s="772"/>
      <c r="X14" s="772"/>
      <c r="Y14" s="772"/>
      <c r="Z14" s="772"/>
      <c r="AA14" s="772"/>
      <c r="AB14" s="772"/>
      <c r="AC14" s="772"/>
      <c r="AD14" s="772"/>
      <c r="AE14" s="773"/>
    </row>
    <row r="15" spans="1:31" s="128" customFormat="1" ht="9.9499999999999993" customHeight="1">
      <c r="A15" s="877"/>
      <c r="B15" s="905"/>
      <c r="C15" s="1447"/>
      <c r="D15" s="1448"/>
      <c r="E15" s="1449"/>
      <c r="F15" s="1122"/>
      <c r="G15" s="1122"/>
      <c r="H15" s="1122"/>
      <c r="I15" s="1122"/>
      <c r="J15" s="1122"/>
      <c r="K15" s="1122"/>
      <c r="L15" s="1122"/>
      <c r="M15" s="1122"/>
      <c r="N15" s="1122"/>
      <c r="O15" s="1122"/>
      <c r="P15" s="904"/>
      <c r="Q15" s="877"/>
      <c r="R15" s="771"/>
      <c r="S15" s="772"/>
      <c r="T15" s="772"/>
      <c r="U15" s="772"/>
      <c r="V15" s="772"/>
      <c r="W15" s="772"/>
      <c r="X15" s="772"/>
      <c r="Y15" s="772"/>
      <c r="Z15" s="772"/>
      <c r="AA15" s="772"/>
      <c r="AB15" s="772"/>
      <c r="AC15" s="772"/>
      <c r="AD15" s="772"/>
      <c r="AE15" s="773"/>
    </row>
    <row r="16" spans="1:31" s="128" customFormat="1" ht="48.75" customHeight="1">
      <c r="A16" s="877"/>
      <c r="B16" s="905"/>
      <c r="C16" s="1441" t="s">
        <v>1018</v>
      </c>
      <c r="D16" s="1442"/>
      <c r="E16" s="1443"/>
      <c r="F16" s="1111">
        <f t="shared" ref="F16:O16" si="0">F17+F18</f>
        <v>0</v>
      </c>
      <c r="G16" s="1111">
        <f t="shared" si="0"/>
        <v>0</v>
      </c>
      <c r="H16" s="1111">
        <f t="shared" si="0"/>
        <v>0</v>
      </c>
      <c r="I16" s="1111">
        <f t="shared" si="0"/>
        <v>0</v>
      </c>
      <c r="J16" s="1111">
        <f t="shared" si="0"/>
        <v>0</v>
      </c>
      <c r="K16" s="1111">
        <f t="shared" si="0"/>
        <v>0</v>
      </c>
      <c r="L16" s="1111">
        <f t="shared" si="0"/>
        <v>0</v>
      </c>
      <c r="M16" s="1111">
        <f t="shared" si="0"/>
        <v>0</v>
      </c>
      <c r="N16" s="1111">
        <f t="shared" si="0"/>
        <v>0</v>
      </c>
      <c r="O16" s="1111">
        <f t="shared" si="0"/>
        <v>0</v>
      </c>
      <c r="P16" s="904"/>
      <c r="Q16" s="877"/>
      <c r="R16" s="771"/>
      <c r="S16" s="772"/>
      <c r="T16" s="772"/>
      <c r="U16" s="772"/>
      <c r="V16" s="772"/>
      <c r="W16" s="772"/>
      <c r="X16" s="772"/>
      <c r="Y16" s="772"/>
      <c r="Z16" s="772"/>
      <c r="AA16" s="772"/>
      <c r="AB16" s="772"/>
      <c r="AC16" s="772"/>
      <c r="AD16" s="772"/>
      <c r="AE16" s="773"/>
    </row>
    <row r="17" spans="1:31" s="128" customFormat="1" ht="18.95" customHeight="1">
      <c r="A17" s="877"/>
      <c r="B17" s="905"/>
      <c r="C17" s="1102" t="s">
        <v>1019</v>
      </c>
      <c r="D17" s="1095"/>
      <c r="E17" s="1096"/>
      <c r="F17" s="929"/>
      <c r="G17" s="929"/>
      <c r="H17" s="929"/>
      <c r="I17" s="929"/>
      <c r="J17" s="929"/>
      <c r="K17" s="929"/>
      <c r="L17" s="929"/>
      <c r="M17" s="929"/>
      <c r="N17" s="929"/>
      <c r="O17" s="929"/>
      <c r="P17" s="904"/>
      <c r="Q17" s="877"/>
      <c r="R17" s="771"/>
      <c r="S17" s="772"/>
      <c r="T17" s="772"/>
      <c r="U17" s="772"/>
      <c r="V17" s="772"/>
      <c r="W17" s="772"/>
      <c r="X17" s="772"/>
      <c r="Y17" s="772"/>
      <c r="Z17" s="772"/>
      <c r="AA17" s="772"/>
      <c r="AB17" s="772"/>
      <c r="AC17" s="772"/>
      <c r="AD17" s="772"/>
      <c r="AE17" s="773"/>
    </row>
    <row r="18" spans="1:31" s="128" customFormat="1" ht="18.95" customHeight="1">
      <c r="A18" s="877"/>
      <c r="B18" s="905"/>
      <c r="C18" s="1102" t="s">
        <v>1020</v>
      </c>
      <c r="D18" s="1095"/>
      <c r="E18" s="1096"/>
      <c r="F18" s="929"/>
      <c r="G18" s="929"/>
      <c r="H18" s="929"/>
      <c r="I18" s="929"/>
      <c r="J18" s="929"/>
      <c r="K18" s="929"/>
      <c r="L18" s="929"/>
      <c r="M18" s="929"/>
      <c r="N18" s="929"/>
      <c r="O18" s="929"/>
      <c r="P18" s="904"/>
      <c r="Q18" s="877"/>
      <c r="R18" s="771"/>
      <c r="S18" s="772"/>
      <c r="T18" s="772"/>
      <c r="U18" s="772"/>
      <c r="V18" s="772"/>
      <c r="W18" s="772"/>
      <c r="X18" s="772"/>
      <c r="Y18" s="772"/>
      <c r="Z18" s="772"/>
      <c r="AA18" s="772"/>
      <c r="AB18" s="772"/>
      <c r="AC18" s="772"/>
      <c r="AD18" s="772"/>
      <c r="AE18" s="773"/>
    </row>
    <row r="19" spans="1:31" s="128" customFormat="1" ht="18.95" customHeight="1">
      <c r="A19" s="877"/>
      <c r="B19" s="905"/>
      <c r="C19" s="1099" t="s">
        <v>1021</v>
      </c>
      <c r="D19" s="1103"/>
      <c r="E19" s="1096"/>
      <c r="F19" s="1086"/>
      <c r="G19" s="1086"/>
      <c r="H19" s="1086"/>
      <c r="I19" s="1086"/>
      <c r="J19" s="1086"/>
      <c r="K19" s="1086"/>
      <c r="L19" s="1086"/>
      <c r="M19" s="1086"/>
      <c r="N19" s="1086"/>
      <c r="O19" s="1086"/>
      <c r="P19" s="904"/>
      <c r="Q19" s="877"/>
      <c r="R19" s="771"/>
      <c r="S19" s="772"/>
      <c r="T19" s="772"/>
      <c r="U19" s="772"/>
      <c r="V19" s="772"/>
      <c r="W19" s="772"/>
      <c r="X19" s="772"/>
      <c r="Y19" s="772"/>
      <c r="Z19" s="772"/>
      <c r="AA19" s="772"/>
      <c r="AB19" s="772"/>
      <c r="AC19" s="772"/>
      <c r="AD19" s="772"/>
      <c r="AE19" s="773"/>
    </row>
    <row r="20" spans="1:31" s="128" customFormat="1" ht="18.95" customHeight="1">
      <c r="A20" s="877"/>
      <c r="B20" s="905"/>
      <c r="C20" s="1099" t="s">
        <v>1022</v>
      </c>
      <c r="D20" s="1103"/>
      <c r="E20" s="1096"/>
      <c r="F20" s="1086"/>
      <c r="G20" s="1086"/>
      <c r="H20" s="1086"/>
      <c r="I20" s="1086"/>
      <c r="J20" s="1086"/>
      <c r="K20" s="1086"/>
      <c r="L20" s="1086"/>
      <c r="M20" s="1086"/>
      <c r="N20" s="1086"/>
      <c r="O20" s="1086"/>
      <c r="P20" s="904"/>
      <c r="Q20" s="877"/>
      <c r="R20" s="771"/>
      <c r="S20" s="772"/>
      <c r="T20" s="772"/>
      <c r="U20" s="772"/>
      <c r="V20" s="772"/>
      <c r="W20" s="772"/>
      <c r="X20" s="772"/>
      <c r="Y20" s="772"/>
      <c r="Z20" s="772"/>
      <c r="AA20" s="772"/>
      <c r="AB20" s="772"/>
      <c r="AC20" s="772"/>
      <c r="AD20" s="772"/>
      <c r="AE20" s="773"/>
    </row>
    <row r="21" spans="1:31" s="128" customFormat="1" ht="45.75" customHeight="1">
      <c r="A21" s="877"/>
      <c r="B21" s="905"/>
      <c r="C21" s="1414" t="s">
        <v>1023</v>
      </c>
      <c r="D21" s="1415"/>
      <c r="E21" s="1416"/>
      <c r="F21" s="1107">
        <f t="shared" ref="F21:O21" si="1">SUM(F22:F26)</f>
        <v>0</v>
      </c>
      <c r="G21" s="1107">
        <f t="shared" si="1"/>
        <v>279232.28999999998</v>
      </c>
      <c r="H21" s="1107">
        <f t="shared" si="1"/>
        <v>289250.24</v>
      </c>
      <c r="I21" s="1107">
        <f t="shared" si="1"/>
        <v>299627.59999999998</v>
      </c>
      <c r="J21" s="1107">
        <f t="shared" si="1"/>
        <v>310377.27</v>
      </c>
      <c r="K21" s="1107">
        <f t="shared" si="1"/>
        <v>321512.59999999998</v>
      </c>
      <c r="L21" s="1107">
        <f t="shared" si="1"/>
        <v>0</v>
      </c>
      <c r="M21" s="1107">
        <f t="shared" si="1"/>
        <v>0</v>
      </c>
      <c r="N21" s="1107">
        <f t="shared" si="1"/>
        <v>0</v>
      </c>
      <c r="O21" s="1107">
        <f t="shared" si="1"/>
        <v>0</v>
      </c>
      <c r="P21" s="904"/>
      <c r="Q21" s="877"/>
      <c r="R21" s="771"/>
      <c r="S21" s="772"/>
      <c r="T21" s="772"/>
      <c r="U21" s="772"/>
      <c r="V21" s="772"/>
      <c r="W21" s="772"/>
      <c r="X21" s="772"/>
      <c r="Y21" s="772"/>
      <c r="Z21" s="772"/>
      <c r="AA21" s="772"/>
      <c r="AB21" s="772"/>
      <c r="AC21" s="772"/>
      <c r="AD21" s="772"/>
      <c r="AE21" s="773"/>
    </row>
    <row r="22" spans="1:31" s="128" customFormat="1" ht="21.95" customHeight="1">
      <c r="A22" s="877"/>
      <c r="B22" s="905"/>
      <c r="C22" s="1102" t="s">
        <v>1024</v>
      </c>
      <c r="D22" s="1095"/>
      <c r="E22" s="1096"/>
      <c r="F22" s="1211"/>
      <c r="G22" s="1211">
        <v>279232.28999999998</v>
      </c>
      <c r="H22" s="1211">
        <v>289250.24</v>
      </c>
      <c r="I22" s="1211">
        <v>299627.59999999998</v>
      </c>
      <c r="J22" s="1211">
        <v>310377.27</v>
      </c>
      <c r="K22" s="1211">
        <v>321512.59999999998</v>
      </c>
      <c r="L22" s="929"/>
      <c r="M22" s="929"/>
      <c r="N22" s="929"/>
      <c r="O22" s="929"/>
      <c r="P22" s="904"/>
      <c r="Q22" s="877"/>
      <c r="R22" s="771"/>
      <c r="S22" s="772"/>
      <c r="T22" s="772"/>
      <c r="U22" s="772"/>
      <c r="V22" s="772"/>
      <c r="W22" s="772"/>
      <c r="X22" s="772"/>
      <c r="Y22" s="772"/>
      <c r="Z22" s="772"/>
      <c r="AA22" s="772"/>
      <c r="AB22" s="772"/>
      <c r="AC22" s="772"/>
      <c r="AD22" s="772"/>
      <c r="AE22" s="773"/>
    </row>
    <row r="23" spans="1:31" s="128" customFormat="1" ht="56.25" customHeight="1">
      <c r="A23" s="877"/>
      <c r="B23" s="905"/>
      <c r="C23" s="1411" t="s">
        <v>1025</v>
      </c>
      <c r="D23" s="1412"/>
      <c r="E23" s="1413"/>
      <c r="F23" s="929"/>
      <c r="G23" s="929"/>
      <c r="H23" s="929"/>
      <c r="I23" s="929"/>
      <c r="J23" s="929"/>
      <c r="K23" s="929"/>
      <c r="L23" s="929"/>
      <c r="M23" s="929"/>
      <c r="N23" s="929"/>
      <c r="O23" s="929"/>
      <c r="P23" s="904"/>
      <c r="Q23" s="877"/>
      <c r="R23" s="771"/>
      <c r="S23" s="772"/>
      <c r="T23" s="772"/>
      <c r="U23" s="772"/>
      <c r="V23" s="772"/>
      <c r="W23" s="772"/>
      <c r="X23" s="772"/>
      <c r="Y23" s="772"/>
      <c r="Z23" s="772"/>
      <c r="AA23" s="772"/>
      <c r="AB23" s="772"/>
      <c r="AC23" s="772"/>
      <c r="AD23" s="772"/>
      <c r="AE23" s="773"/>
    </row>
    <row r="24" spans="1:31" s="128" customFormat="1" ht="18.95" customHeight="1">
      <c r="A24" s="877"/>
      <c r="B24" s="905"/>
      <c r="C24" s="1102" t="s">
        <v>1026</v>
      </c>
      <c r="D24" s="1095"/>
      <c r="E24" s="1097"/>
      <c r="F24" s="929"/>
      <c r="G24" s="929"/>
      <c r="H24" s="929"/>
      <c r="I24" s="929"/>
      <c r="J24" s="929"/>
      <c r="K24" s="929"/>
      <c r="L24" s="929"/>
      <c r="M24" s="929"/>
      <c r="N24" s="929"/>
      <c r="O24" s="929"/>
      <c r="P24" s="904"/>
      <c r="Q24" s="877"/>
      <c r="R24" s="771"/>
      <c r="S24" s="772"/>
      <c r="T24" s="772"/>
      <c r="U24" s="772"/>
      <c r="V24" s="772"/>
      <c r="W24" s="772"/>
      <c r="X24" s="772"/>
      <c r="Y24" s="772"/>
      <c r="Z24" s="772"/>
      <c r="AA24" s="772"/>
      <c r="AB24" s="772"/>
      <c r="AC24" s="772"/>
      <c r="AD24" s="772"/>
      <c r="AE24" s="773"/>
    </row>
    <row r="25" spans="1:31" s="128" customFormat="1" ht="33" customHeight="1">
      <c r="A25" s="877"/>
      <c r="B25" s="905"/>
      <c r="C25" s="1411" t="s">
        <v>1027</v>
      </c>
      <c r="D25" s="1412"/>
      <c r="E25" s="1413"/>
      <c r="F25" s="929"/>
      <c r="G25" s="929"/>
      <c r="H25" s="929"/>
      <c r="I25" s="929"/>
      <c r="J25" s="929"/>
      <c r="K25" s="929"/>
      <c r="L25" s="929"/>
      <c r="M25" s="929"/>
      <c r="N25" s="929"/>
      <c r="O25" s="929"/>
      <c r="P25" s="904"/>
      <c r="Q25" s="877"/>
      <c r="R25" s="771"/>
      <c r="S25" s="772"/>
      <c r="T25" s="772"/>
      <c r="U25" s="772"/>
      <c r="V25" s="772"/>
      <c r="W25" s="772"/>
      <c r="X25" s="772"/>
      <c r="Y25" s="772"/>
      <c r="Z25" s="772"/>
      <c r="AA25" s="772"/>
      <c r="AB25" s="772"/>
      <c r="AC25" s="772"/>
      <c r="AD25" s="772"/>
      <c r="AE25" s="773"/>
    </row>
    <row r="26" spans="1:31" s="128" customFormat="1" ht="18.95" customHeight="1">
      <c r="A26" s="877"/>
      <c r="B26" s="905"/>
      <c r="C26" s="1102" t="s">
        <v>1028</v>
      </c>
      <c r="D26" s="1095"/>
      <c r="E26" s="1097"/>
      <c r="F26" s="929"/>
      <c r="G26" s="929"/>
      <c r="H26" s="929"/>
      <c r="I26" s="929"/>
      <c r="J26" s="929"/>
      <c r="K26" s="929"/>
      <c r="L26" s="929"/>
      <c r="M26" s="929"/>
      <c r="N26" s="929"/>
      <c r="O26" s="929"/>
      <c r="P26" s="904"/>
      <c r="Q26" s="877"/>
      <c r="R26" s="771"/>
      <c r="S26" s="772"/>
      <c r="T26" s="772"/>
      <c r="U26" s="772"/>
      <c r="V26" s="772"/>
      <c r="W26" s="772"/>
      <c r="X26" s="772"/>
      <c r="Y26" s="772"/>
      <c r="Z26" s="772"/>
      <c r="AA26" s="772"/>
      <c r="AB26" s="772"/>
      <c r="AC26" s="772"/>
      <c r="AD26" s="772"/>
      <c r="AE26" s="773"/>
    </row>
    <row r="27" spans="1:31" s="128" customFormat="1" ht="18.95" customHeight="1">
      <c r="A27" s="877"/>
      <c r="B27" s="905"/>
      <c r="C27" s="1099" t="s">
        <v>1029</v>
      </c>
      <c r="D27" s="1103"/>
      <c r="E27" s="1097"/>
      <c r="F27" s="1086"/>
      <c r="G27" s="1086"/>
      <c r="H27" s="1086"/>
      <c r="I27" s="1086"/>
      <c r="J27" s="1086"/>
      <c r="K27" s="1086"/>
      <c r="L27" s="1086"/>
      <c r="M27" s="1086"/>
      <c r="N27" s="1086"/>
      <c r="O27" s="1086"/>
      <c r="P27" s="904"/>
      <c r="Q27" s="877"/>
      <c r="R27" s="771"/>
      <c r="S27" s="772"/>
      <c r="T27" s="772"/>
      <c r="U27" s="772"/>
      <c r="V27" s="772"/>
      <c r="W27" s="772"/>
      <c r="X27" s="772"/>
      <c r="Y27" s="772"/>
      <c r="Z27" s="772"/>
      <c r="AA27" s="772"/>
      <c r="AB27" s="772"/>
      <c r="AC27" s="772"/>
      <c r="AD27" s="772"/>
      <c r="AE27" s="773"/>
    </row>
    <row r="28" spans="1:31" s="128" customFormat="1" ht="18.95" customHeight="1">
      <c r="A28" s="877"/>
      <c r="B28" s="905"/>
      <c r="C28" s="1099" t="s">
        <v>1030</v>
      </c>
      <c r="D28" s="1103"/>
      <c r="E28" s="1097"/>
      <c r="F28" s="1086"/>
      <c r="G28" s="1086"/>
      <c r="H28" s="1086"/>
      <c r="I28" s="1086"/>
      <c r="J28" s="1086"/>
      <c r="K28" s="1086"/>
      <c r="L28" s="1086"/>
      <c r="M28" s="1086"/>
      <c r="N28" s="1086"/>
      <c r="O28" s="1086"/>
      <c r="P28" s="904"/>
      <c r="Q28" s="877"/>
      <c r="R28" s="771"/>
      <c r="S28" s="772"/>
      <c r="T28" s="772"/>
      <c r="U28" s="772"/>
      <c r="V28" s="772"/>
      <c r="W28" s="772"/>
      <c r="X28" s="772"/>
      <c r="Y28" s="772"/>
      <c r="Z28" s="772"/>
      <c r="AA28" s="772"/>
      <c r="AB28" s="772"/>
      <c r="AC28" s="772"/>
      <c r="AD28" s="772"/>
      <c r="AE28" s="773"/>
    </row>
    <row r="29" spans="1:31" s="128" customFormat="1" ht="18.95" customHeight="1">
      <c r="A29" s="877"/>
      <c r="B29" s="905"/>
      <c r="C29" s="1099" t="s">
        <v>1031</v>
      </c>
      <c r="D29" s="1103"/>
      <c r="E29" s="1097"/>
      <c r="F29" s="1086"/>
      <c r="G29" s="1086"/>
      <c r="H29" s="1086"/>
      <c r="I29" s="1086"/>
      <c r="J29" s="1086"/>
      <c r="K29" s="1086"/>
      <c r="L29" s="1086"/>
      <c r="M29" s="1086"/>
      <c r="N29" s="1086"/>
      <c r="O29" s="1086"/>
      <c r="P29" s="904"/>
      <c r="Q29" s="877"/>
      <c r="R29" s="771"/>
      <c r="S29" s="772"/>
      <c r="T29" s="772"/>
      <c r="U29" s="772"/>
      <c r="V29" s="772"/>
      <c r="W29" s="772"/>
      <c r="X29" s="772"/>
      <c r="Y29" s="772"/>
      <c r="Z29" s="772"/>
      <c r="AA29" s="772"/>
      <c r="AB29" s="772"/>
      <c r="AC29" s="772"/>
      <c r="AD29" s="772"/>
      <c r="AE29" s="773"/>
    </row>
    <row r="30" spans="1:31" s="128" customFormat="1" ht="36" customHeight="1">
      <c r="A30" s="877"/>
      <c r="B30" s="905"/>
      <c r="C30" s="1414" t="s">
        <v>1032</v>
      </c>
      <c r="D30" s="1415"/>
      <c r="E30" s="1416"/>
      <c r="F30" s="1086"/>
      <c r="G30" s="1086"/>
      <c r="H30" s="1086"/>
      <c r="I30" s="1086"/>
      <c r="J30" s="1086"/>
      <c r="K30" s="1086"/>
      <c r="L30" s="1086"/>
      <c r="M30" s="1086"/>
      <c r="N30" s="1086"/>
      <c r="O30" s="1086"/>
      <c r="P30" s="904"/>
      <c r="Q30" s="877"/>
      <c r="R30" s="771"/>
      <c r="S30" s="772"/>
      <c r="T30" s="772"/>
      <c r="U30" s="772"/>
      <c r="V30" s="772"/>
      <c r="W30" s="772"/>
      <c r="X30" s="772"/>
      <c r="Y30" s="772"/>
      <c r="Z30" s="772"/>
      <c r="AA30" s="772"/>
      <c r="AB30" s="772"/>
      <c r="AC30" s="772"/>
      <c r="AD30" s="772"/>
      <c r="AE30" s="773"/>
    </row>
    <row r="31" spans="1:31" s="128" customFormat="1" ht="36" customHeight="1">
      <c r="A31" s="877"/>
      <c r="B31" s="905"/>
      <c r="C31" s="1414" t="s">
        <v>1033</v>
      </c>
      <c r="D31" s="1415"/>
      <c r="E31" s="1416"/>
      <c r="F31" s="1086"/>
      <c r="G31" s="1086"/>
      <c r="H31" s="1086"/>
      <c r="I31" s="1086"/>
      <c r="J31" s="1086"/>
      <c r="K31" s="1086"/>
      <c r="L31" s="1086"/>
      <c r="M31" s="1086"/>
      <c r="N31" s="1086"/>
      <c r="O31" s="1086"/>
      <c r="P31" s="904"/>
      <c r="Q31" s="877"/>
      <c r="R31" s="771"/>
      <c r="S31" s="772"/>
      <c r="T31" s="772"/>
      <c r="U31" s="772"/>
      <c r="V31" s="772"/>
      <c r="W31" s="772"/>
      <c r="X31" s="772"/>
      <c r="Y31" s="772"/>
      <c r="Z31" s="772"/>
      <c r="AA31" s="772"/>
      <c r="AB31" s="772"/>
      <c r="AC31" s="772"/>
      <c r="AD31" s="772"/>
      <c r="AE31" s="773"/>
    </row>
    <row r="32" spans="1:31" s="128" customFormat="1" ht="18.95" customHeight="1">
      <c r="A32" s="877"/>
      <c r="B32" s="905"/>
      <c r="C32" s="1099" t="s">
        <v>1034</v>
      </c>
      <c r="D32" s="1103"/>
      <c r="E32" s="1097"/>
      <c r="F32" s="1086"/>
      <c r="G32" s="1086"/>
      <c r="H32" s="1086"/>
      <c r="I32" s="1086"/>
      <c r="J32" s="1086"/>
      <c r="K32" s="1086"/>
      <c r="L32" s="1086"/>
      <c r="M32" s="1086"/>
      <c r="N32" s="1086"/>
      <c r="O32" s="1086"/>
      <c r="P32" s="904"/>
      <c r="Q32" s="877"/>
      <c r="R32" s="771"/>
      <c r="S32" s="772"/>
      <c r="T32" s="772"/>
      <c r="U32" s="772"/>
      <c r="V32" s="772"/>
      <c r="W32" s="772"/>
      <c r="X32" s="772"/>
      <c r="Y32" s="772"/>
      <c r="Z32" s="772"/>
      <c r="AA32" s="772"/>
      <c r="AB32" s="772"/>
      <c r="AC32" s="772"/>
      <c r="AD32" s="772"/>
      <c r="AE32" s="773"/>
    </row>
    <row r="33" spans="1:31" s="128" customFormat="1" ht="18.95" customHeight="1" thickBot="1">
      <c r="A33" s="877"/>
      <c r="B33" s="905"/>
      <c r="C33" s="317" t="s">
        <v>1035</v>
      </c>
      <c r="D33" s="318"/>
      <c r="E33" s="1098"/>
      <c r="F33" s="119">
        <f t="shared" ref="F33:O33" si="2">F16+SUM(F19:F21)+SUM(F27:F32)</f>
        <v>0</v>
      </c>
      <c r="G33" s="119">
        <f t="shared" si="2"/>
        <v>279232.28999999998</v>
      </c>
      <c r="H33" s="119">
        <f t="shared" si="2"/>
        <v>289250.24</v>
      </c>
      <c r="I33" s="119">
        <f t="shared" si="2"/>
        <v>299627.59999999998</v>
      </c>
      <c r="J33" s="119">
        <f t="shared" si="2"/>
        <v>310377.27</v>
      </c>
      <c r="K33" s="119">
        <f t="shared" si="2"/>
        <v>321512.59999999998</v>
      </c>
      <c r="L33" s="119">
        <f t="shared" si="2"/>
        <v>0</v>
      </c>
      <c r="M33" s="119">
        <f t="shared" si="2"/>
        <v>0</v>
      </c>
      <c r="N33" s="119">
        <f t="shared" si="2"/>
        <v>0</v>
      </c>
      <c r="O33" s="119">
        <f t="shared" si="2"/>
        <v>0</v>
      </c>
      <c r="P33" s="904"/>
      <c r="Q33" s="877"/>
      <c r="R33" s="771"/>
      <c r="S33" s="772"/>
      <c r="T33" s="772"/>
      <c r="U33" s="772"/>
      <c r="V33" s="772"/>
      <c r="W33" s="772"/>
      <c r="X33" s="772"/>
      <c r="Y33" s="772"/>
      <c r="Z33" s="772"/>
      <c r="AA33" s="772"/>
      <c r="AB33" s="772"/>
      <c r="AC33" s="772"/>
      <c r="AD33" s="772"/>
      <c r="AE33" s="773"/>
    </row>
    <row r="34" spans="1:31" s="128" customFormat="1" ht="18.95" customHeight="1">
      <c r="A34" s="877"/>
      <c r="B34" s="905"/>
      <c r="C34" s="1099" t="s">
        <v>1036</v>
      </c>
      <c r="D34" s="1095"/>
      <c r="E34" s="1097"/>
      <c r="F34" s="929"/>
      <c r="G34" s="929"/>
      <c r="H34" s="929"/>
      <c r="I34" s="929"/>
      <c r="J34" s="929"/>
      <c r="K34" s="929"/>
      <c r="L34" s="929"/>
      <c r="M34" s="929"/>
      <c r="N34" s="929"/>
      <c r="O34" s="929"/>
      <c r="P34" s="904"/>
      <c r="Q34" s="877"/>
      <c r="R34" s="771"/>
      <c r="S34" s="772"/>
      <c r="T34" s="772"/>
      <c r="U34" s="772"/>
      <c r="V34" s="772"/>
      <c r="W34" s="772"/>
      <c r="X34" s="772"/>
      <c r="Y34" s="772"/>
      <c r="Z34" s="772"/>
      <c r="AA34" s="772"/>
      <c r="AB34" s="772"/>
      <c r="AC34" s="772"/>
      <c r="AD34" s="772"/>
      <c r="AE34" s="773"/>
    </row>
    <row r="35" spans="1:31" s="128" customFormat="1" ht="36" customHeight="1">
      <c r="A35" s="877"/>
      <c r="B35" s="905"/>
      <c r="C35" s="1430" t="s">
        <v>1037</v>
      </c>
      <c r="D35" s="1431"/>
      <c r="E35" s="1432"/>
      <c r="F35" s="929"/>
      <c r="G35" s="929"/>
      <c r="H35" s="929"/>
      <c r="I35" s="929"/>
      <c r="J35" s="929"/>
      <c r="K35" s="929"/>
      <c r="L35" s="929"/>
      <c r="M35" s="929"/>
      <c r="N35" s="929"/>
      <c r="O35" s="929"/>
      <c r="P35" s="904"/>
      <c r="Q35" s="877"/>
      <c r="R35" s="771"/>
      <c r="S35" s="772"/>
      <c r="T35" s="772"/>
      <c r="U35" s="772"/>
      <c r="V35" s="772"/>
      <c r="W35" s="772"/>
      <c r="X35" s="772"/>
      <c r="Y35" s="772"/>
      <c r="Z35" s="772"/>
      <c r="AA35" s="772"/>
      <c r="AB35" s="772"/>
      <c r="AC35" s="772"/>
      <c r="AD35" s="772"/>
      <c r="AE35" s="773"/>
    </row>
    <row r="36" spans="1:31" s="128" customFormat="1" ht="36" customHeight="1">
      <c r="A36" s="877"/>
      <c r="B36" s="905"/>
      <c r="C36" s="1430" t="s">
        <v>1038</v>
      </c>
      <c r="D36" s="1431"/>
      <c r="E36" s="1432"/>
      <c r="F36" s="929"/>
      <c r="G36" s="929"/>
      <c r="H36" s="929"/>
      <c r="I36" s="929"/>
      <c r="J36" s="929"/>
      <c r="K36" s="929"/>
      <c r="L36" s="929"/>
      <c r="M36" s="929"/>
      <c r="N36" s="929"/>
      <c r="O36" s="929"/>
      <c r="P36" s="904"/>
      <c r="Q36" s="877"/>
      <c r="R36" s="771"/>
      <c r="S36" s="772"/>
      <c r="T36" s="772"/>
      <c r="U36" s="772"/>
      <c r="V36" s="772"/>
      <c r="W36" s="772"/>
      <c r="X36" s="772"/>
      <c r="Y36" s="772"/>
      <c r="Z36" s="772"/>
      <c r="AA36" s="772"/>
      <c r="AB36" s="772"/>
      <c r="AC36" s="772"/>
      <c r="AD36" s="772"/>
      <c r="AE36" s="773"/>
    </row>
    <row r="37" spans="1:31" s="128" customFormat="1" ht="32.25" customHeight="1">
      <c r="A37" s="877"/>
      <c r="B37" s="905"/>
      <c r="C37" s="1430" t="s">
        <v>1039</v>
      </c>
      <c r="D37" s="1431"/>
      <c r="E37" s="1432"/>
      <c r="F37" s="929"/>
      <c r="G37" s="929"/>
      <c r="H37" s="929"/>
      <c r="I37" s="929"/>
      <c r="J37" s="929"/>
      <c r="K37" s="929"/>
      <c r="L37" s="929"/>
      <c r="M37" s="929"/>
      <c r="N37" s="929"/>
      <c r="O37" s="929"/>
      <c r="P37" s="904"/>
      <c r="Q37" s="877"/>
      <c r="R37" s="771"/>
      <c r="S37" s="772"/>
      <c r="T37" s="772"/>
      <c r="U37" s="772"/>
      <c r="V37" s="772"/>
      <c r="W37" s="772"/>
      <c r="X37" s="772"/>
      <c r="Y37" s="772"/>
      <c r="Z37" s="772"/>
      <c r="AA37" s="772"/>
      <c r="AB37" s="772"/>
      <c r="AC37" s="772"/>
      <c r="AD37" s="772"/>
      <c r="AE37" s="773"/>
    </row>
    <row r="38" spans="1:31" s="128" customFormat="1" ht="26.25" customHeight="1" thickBot="1">
      <c r="A38" s="877"/>
      <c r="B38" s="905"/>
      <c r="C38" s="317" t="s">
        <v>1040</v>
      </c>
      <c r="D38" s="318"/>
      <c r="E38" s="1098"/>
      <c r="F38" s="119">
        <f t="shared" ref="F38:O38" si="3">SUM(F34:F37)</f>
        <v>0</v>
      </c>
      <c r="G38" s="119">
        <f t="shared" si="3"/>
        <v>0</v>
      </c>
      <c r="H38" s="119">
        <f t="shared" si="3"/>
        <v>0</v>
      </c>
      <c r="I38" s="119">
        <f t="shared" si="3"/>
        <v>0</v>
      </c>
      <c r="J38" s="119">
        <f t="shared" si="3"/>
        <v>0</v>
      </c>
      <c r="K38" s="119">
        <f t="shared" si="3"/>
        <v>0</v>
      </c>
      <c r="L38" s="119">
        <f t="shared" si="3"/>
        <v>0</v>
      </c>
      <c r="M38" s="119">
        <f t="shared" si="3"/>
        <v>0</v>
      </c>
      <c r="N38" s="119">
        <f t="shared" si="3"/>
        <v>0</v>
      </c>
      <c r="O38" s="119">
        <f t="shared" si="3"/>
        <v>0</v>
      </c>
      <c r="P38" s="904"/>
      <c r="Q38" s="877"/>
      <c r="R38" s="771"/>
      <c r="S38" s="772"/>
      <c r="T38" s="772"/>
      <c r="U38" s="772"/>
      <c r="V38" s="772"/>
      <c r="W38" s="772"/>
      <c r="X38" s="772"/>
      <c r="Y38" s="772"/>
      <c r="Z38" s="772"/>
      <c r="AA38" s="772"/>
      <c r="AB38" s="772"/>
      <c r="AC38" s="772"/>
      <c r="AD38" s="772"/>
      <c r="AE38" s="773"/>
    </row>
    <row r="39" spans="1:31" s="128" customFormat="1" ht="38.25" customHeight="1" thickBot="1">
      <c r="A39" s="877"/>
      <c r="B39" s="905"/>
      <c r="C39" s="1433" t="s">
        <v>1041</v>
      </c>
      <c r="D39" s="1434"/>
      <c r="E39" s="1435"/>
      <c r="F39" s="119">
        <f t="shared" ref="F39:O39" si="4">F40+F41</f>
        <v>0</v>
      </c>
      <c r="G39" s="119">
        <f t="shared" si="4"/>
        <v>0</v>
      </c>
      <c r="H39" s="119">
        <f t="shared" si="4"/>
        <v>0</v>
      </c>
      <c r="I39" s="119">
        <f t="shared" si="4"/>
        <v>0</v>
      </c>
      <c r="J39" s="119">
        <f t="shared" si="4"/>
        <v>0</v>
      </c>
      <c r="K39" s="119">
        <f t="shared" si="4"/>
        <v>0</v>
      </c>
      <c r="L39" s="119">
        <f t="shared" si="4"/>
        <v>0</v>
      </c>
      <c r="M39" s="119">
        <f t="shared" si="4"/>
        <v>0</v>
      </c>
      <c r="N39" s="119">
        <f t="shared" si="4"/>
        <v>0</v>
      </c>
      <c r="O39" s="119">
        <f t="shared" si="4"/>
        <v>0</v>
      </c>
      <c r="P39" s="904"/>
      <c r="Q39" s="877"/>
      <c r="R39" s="771"/>
      <c r="S39" s="772"/>
      <c r="T39" s="772"/>
      <c r="U39" s="772"/>
      <c r="V39" s="772"/>
      <c r="W39" s="772"/>
      <c r="X39" s="772"/>
      <c r="Y39" s="772"/>
      <c r="Z39" s="772"/>
      <c r="AA39" s="772"/>
      <c r="AB39" s="772"/>
      <c r="AC39" s="772"/>
      <c r="AD39" s="772"/>
      <c r="AE39" s="773"/>
    </row>
    <row r="40" spans="1:31" s="128" customFormat="1" ht="18.95" customHeight="1">
      <c r="A40" s="877"/>
      <c r="B40" s="905"/>
      <c r="C40" s="1102" t="s">
        <v>1042</v>
      </c>
      <c r="D40" s="1095"/>
      <c r="E40" s="1097"/>
      <c r="F40" s="929"/>
      <c r="G40" s="929"/>
      <c r="H40" s="929"/>
      <c r="I40" s="929"/>
      <c r="J40" s="929"/>
      <c r="K40" s="929"/>
      <c r="L40" s="929"/>
      <c r="M40" s="929"/>
      <c r="N40" s="929"/>
      <c r="O40" s="929"/>
      <c r="P40" s="904"/>
      <c r="Q40" s="877"/>
      <c r="R40" s="771"/>
      <c r="S40" s="772"/>
      <c r="T40" s="772"/>
      <c r="U40" s="772"/>
      <c r="V40" s="772"/>
      <c r="W40" s="772"/>
      <c r="X40" s="772"/>
      <c r="Y40" s="772"/>
      <c r="Z40" s="772"/>
      <c r="AA40" s="772"/>
      <c r="AB40" s="772"/>
      <c r="AC40" s="772"/>
      <c r="AD40" s="772"/>
      <c r="AE40" s="773"/>
    </row>
    <row r="41" spans="1:31" s="128" customFormat="1" ht="18.95" customHeight="1">
      <c r="A41" s="877"/>
      <c r="B41" s="905"/>
      <c r="C41" s="1104" t="s">
        <v>1043</v>
      </c>
      <c r="D41" s="985"/>
      <c r="E41" s="122"/>
      <c r="F41" s="929"/>
      <c r="G41" s="929"/>
      <c r="H41" s="929"/>
      <c r="I41" s="929"/>
      <c r="J41" s="929"/>
      <c r="K41" s="929"/>
      <c r="L41" s="929"/>
      <c r="M41" s="929"/>
      <c r="N41" s="929"/>
      <c r="O41" s="929"/>
      <c r="P41" s="904"/>
      <c r="Q41" s="877"/>
      <c r="R41" s="771"/>
      <c r="S41" s="772"/>
      <c r="T41" s="772"/>
      <c r="U41" s="772"/>
      <c r="V41" s="772"/>
      <c r="W41" s="772"/>
      <c r="X41" s="772"/>
      <c r="Y41" s="772"/>
      <c r="Z41" s="772"/>
      <c r="AA41" s="772"/>
      <c r="AB41" s="772"/>
      <c r="AC41" s="772"/>
      <c r="AD41" s="772"/>
      <c r="AE41" s="773"/>
    </row>
    <row r="42" spans="1:31" s="128" customFormat="1" ht="35.25" customHeight="1" thickBot="1">
      <c r="A42" s="877"/>
      <c r="B42" s="905"/>
      <c r="C42" s="1426" t="s">
        <v>1044</v>
      </c>
      <c r="D42" s="1427"/>
      <c r="E42" s="1428"/>
      <c r="F42" s="119">
        <f t="shared" ref="F42:O42" si="5">SUM(F43:F46)</f>
        <v>0</v>
      </c>
      <c r="G42" s="119">
        <f t="shared" si="5"/>
        <v>0</v>
      </c>
      <c r="H42" s="119">
        <f t="shared" si="5"/>
        <v>0</v>
      </c>
      <c r="I42" s="119">
        <f t="shared" si="5"/>
        <v>0</v>
      </c>
      <c r="J42" s="119">
        <f t="shared" si="5"/>
        <v>0</v>
      </c>
      <c r="K42" s="119">
        <f t="shared" si="5"/>
        <v>0</v>
      </c>
      <c r="L42" s="119">
        <f t="shared" si="5"/>
        <v>0</v>
      </c>
      <c r="M42" s="119">
        <f t="shared" si="5"/>
        <v>0</v>
      </c>
      <c r="N42" s="119">
        <f t="shared" si="5"/>
        <v>0</v>
      </c>
      <c r="O42" s="119">
        <f t="shared" si="5"/>
        <v>0</v>
      </c>
      <c r="P42" s="904"/>
      <c r="Q42" s="877"/>
      <c r="R42" s="771"/>
      <c r="S42" s="772"/>
      <c r="T42" s="772"/>
      <c r="U42" s="772"/>
      <c r="V42" s="772"/>
      <c r="W42" s="772"/>
      <c r="X42" s="772"/>
      <c r="Y42" s="772"/>
      <c r="Z42" s="772"/>
      <c r="AA42" s="772"/>
      <c r="AB42" s="772"/>
      <c r="AC42" s="772"/>
      <c r="AD42" s="772"/>
      <c r="AE42" s="773"/>
    </row>
    <row r="43" spans="1:31" s="128" customFormat="1" ht="18.95" customHeight="1">
      <c r="A43" s="877"/>
      <c r="B43" s="905"/>
      <c r="C43" s="1102" t="s">
        <v>1045</v>
      </c>
      <c r="D43" s="1105"/>
      <c r="E43" s="1106"/>
      <c r="F43" s="929"/>
      <c r="G43" s="929"/>
      <c r="H43" s="929"/>
      <c r="I43" s="929"/>
      <c r="J43" s="929"/>
      <c r="K43" s="929"/>
      <c r="L43" s="929"/>
      <c r="M43" s="929"/>
      <c r="N43" s="929"/>
      <c r="O43" s="929"/>
      <c r="P43" s="904"/>
      <c r="Q43" s="877"/>
      <c r="R43" s="771"/>
      <c r="S43" s="772"/>
      <c r="T43" s="772"/>
      <c r="U43" s="772"/>
      <c r="V43" s="772"/>
      <c r="W43" s="772"/>
      <c r="X43" s="772"/>
      <c r="Y43" s="772"/>
      <c r="Z43" s="772"/>
      <c r="AA43" s="772"/>
      <c r="AB43" s="772"/>
      <c r="AC43" s="772"/>
      <c r="AD43" s="772"/>
      <c r="AE43" s="773"/>
    </row>
    <row r="44" spans="1:31" s="128" customFormat="1" ht="18.95" customHeight="1">
      <c r="A44" s="877"/>
      <c r="B44" s="905"/>
      <c r="C44" s="1102" t="s">
        <v>1046</v>
      </c>
      <c r="D44" s="1105"/>
      <c r="E44" s="1106"/>
      <c r="F44" s="929"/>
      <c r="G44" s="929"/>
      <c r="H44" s="929"/>
      <c r="I44" s="929"/>
      <c r="J44" s="929"/>
      <c r="K44" s="929"/>
      <c r="L44" s="929"/>
      <c r="M44" s="929"/>
      <c r="N44" s="929"/>
      <c r="O44" s="929"/>
      <c r="P44" s="904"/>
      <c r="Q44" s="877"/>
      <c r="R44" s="771"/>
      <c r="S44" s="772"/>
      <c r="T44" s="772"/>
      <c r="U44" s="772"/>
      <c r="V44" s="772"/>
      <c r="W44" s="772"/>
      <c r="X44" s="772"/>
      <c r="Y44" s="772"/>
      <c r="Z44" s="772"/>
      <c r="AA44" s="772"/>
      <c r="AB44" s="772"/>
      <c r="AC44" s="772"/>
      <c r="AD44" s="772"/>
      <c r="AE44" s="773"/>
    </row>
    <row r="45" spans="1:31" s="128" customFormat="1" ht="18.95" customHeight="1">
      <c r="A45" s="877"/>
      <c r="B45" s="905"/>
      <c r="C45" s="1411" t="s">
        <v>1047</v>
      </c>
      <c r="D45" s="1412"/>
      <c r="E45" s="1413"/>
      <c r="F45" s="929"/>
      <c r="G45" s="929"/>
      <c r="H45" s="929"/>
      <c r="I45" s="929"/>
      <c r="J45" s="929"/>
      <c r="K45" s="929"/>
      <c r="L45" s="929"/>
      <c r="M45" s="929"/>
      <c r="N45" s="929"/>
      <c r="O45" s="929"/>
      <c r="P45" s="904"/>
      <c r="Q45" s="877"/>
      <c r="R45" s="771"/>
      <c r="S45" s="772"/>
      <c r="T45" s="772"/>
      <c r="U45" s="772"/>
      <c r="V45" s="772"/>
      <c r="W45" s="772"/>
      <c r="X45" s="772"/>
      <c r="Y45" s="772"/>
      <c r="Z45" s="772"/>
      <c r="AA45" s="772"/>
      <c r="AB45" s="772"/>
      <c r="AC45" s="772"/>
      <c r="AD45" s="772"/>
      <c r="AE45" s="773"/>
    </row>
    <row r="46" spans="1:31" s="128" customFormat="1" ht="18.95" customHeight="1">
      <c r="A46" s="877"/>
      <c r="B46" s="905"/>
      <c r="C46" s="1102" t="s">
        <v>1048</v>
      </c>
      <c r="D46" s="1105"/>
      <c r="E46" s="1106"/>
      <c r="F46" s="929"/>
      <c r="G46" s="929"/>
      <c r="H46" s="929"/>
      <c r="I46" s="929"/>
      <c r="J46" s="929"/>
      <c r="K46" s="929"/>
      <c r="L46" s="929"/>
      <c r="M46" s="929"/>
      <c r="N46" s="929"/>
      <c r="O46" s="929"/>
      <c r="P46" s="904"/>
      <c r="Q46" s="877"/>
      <c r="R46" s="771"/>
      <c r="S46" s="772"/>
      <c r="T46" s="772"/>
      <c r="U46" s="772"/>
      <c r="V46" s="772"/>
      <c r="W46" s="772"/>
      <c r="X46" s="772"/>
      <c r="Y46" s="772"/>
      <c r="Z46" s="772"/>
      <c r="AA46" s="772"/>
      <c r="AB46" s="772"/>
      <c r="AC46" s="772"/>
      <c r="AD46" s="772"/>
      <c r="AE46" s="773"/>
    </row>
    <row r="47" spans="1:31" s="128" customFormat="1" ht="18.95" customHeight="1" thickBot="1">
      <c r="A47" s="877"/>
      <c r="B47" s="905"/>
      <c r="C47" s="317" t="s">
        <v>1049</v>
      </c>
      <c r="D47" s="318"/>
      <c r="E47" s="1098"/>
      <c r="F47" s="286"/>
      <c r="G47" s="286"/>
      <c r="H47" s="286"/>
      <c r="I47" s="286"/>
      <c r="J47" s="286"/>
      <c r="K47" s="286"/>
      <c r="L47" s="286"/>
      <c r="M47" s="286"/>
      <c r="N47" s="286"/>
      <c r="O47" s="286"/>
      <c r="P47" s="904"/>
      <c r="Q47" s="877"/>
      <c r="R47" s="771"/>
      <c r="S47" s="772"/>
      <c r="T47" s="772"/>
      <c r="U47" s="772"/>
      <c r="V47" s="772"/>
      <c r="W47" s="772"/>
      <c r="X47" s="772"/>
      <c r="Y47" s="772"/>
      <c r="Z47" s="772"/>
      <c r="AA47" s="772"/>
      <c r="AB47" s="772"/>
      <c r="AC47" s="772"/>
      <c r="AD47" s="772"/>
      <c r="AE47" s="773"/>
    </row>
    <row r="48" spans="1:31" s="128" customFormat="1" ht="36" customHeight="1" thickBot="1">
      <c r="A48" s="877"/>
      <c r="B48" s="905"/>
      <c r="C48" s="1417" t="s">
        <v>1050</v>
      </c>
      <c r="D48" s="1418"/>
      <c r="E48" s="1419"/>
      <c r="F48" s="1100">
        <f t="shared" ref="F48:O48" si="6">F47+F42+F39+F38+F33</f>
        <v>0</v>
      </c>
      <c r="G48" s="1100">
        <f t="shared" si="6"/>
        <v>279232.28999999998</v>
      </c>
      <c r="H48" s="1100">
        <f t="shared" si="6"/>
        <v>289250.24</v>
      </c>
      <c r="I48" s="1100">
        <f t="shared" si="6"/>
        <v>299627.59999999998</v>
      </c>
      <c r="J48" s="1100">
        <f t="shared" si="6"/>
        <v>310377.27</v>
      </c>
      <c r="K48" s="1100">
        <f t="shared" si="6"/>
        <v>321512.59999999998</v>
      </c>
      <c r="L48" s="1100">
        <f t="shared" si="6"/>
        <v>0</v>
      </c>
      <c r="M48" s="1100">
        <f t="shared" si="6"/>
        <v>0</v>
      </c>
      <c r="N48" s="1100">
        <f t="shared" si="6"/>
        <v>0</v>
      </c>
      <c r="O48" s="1100">
        <f t="shared" si="6"/>
        <v>0</v>
      </c>
      <c r="P48" s="904"/>
      <c r="Q48" s="877"/>
      <c r="R48" s="771"/>
      <c r="S48" s="772"/>
      <c r="T48" s="772"/>
      <c r="U48" s="772"/>
      <c r="V48" s="772"/>
      <c r="W48" s="772"/>
      <c r="X48" s="772"/>
      <c r="Y48" s="772"/>
      <c r="Z48" s="772"/>
      <c r="AA48" s="772"/>
      <c r="AB48" s="772"/>
      <c r="AC48" s="772"/>
      <c r="AD48" s="772"/>
      <c r="AE48" s="773"/>
    </row>
    <row r="49" spans="1:31" s="128" customFormat="1" ht="18.95" customHeight="1">
      <c r="A49" s="877"/>
      <c r="B49" s="905"/>
      <c r="C49" s="877"/>
      <c r="D49" s="877"/>
      <c r="E49" s="877"/>
      <c r="F49" s="877"/>
      <c r="G49" s="877"/>
      <c r="H49" s="877"/>
      <c r="I49" s="877"/>
      <c r="J49" s="877"/>
      <c r="K49" s="877"/>
      <c r="L49" s="877"/>
      <c r="M49" s="877"/>
      <c r="N49" s="877"/>
      <c r="O49" s="877"/>
      <c r="P49" s="904"/>
      <c r="Q49" s="877"/>
      <c r="R49" s="771"/>
      <c r="S49" s="772"/>
      <c r="T49" s="772"/>
      <c r="U49" s="772"/>
      <c r="V49" s="772"/>
      <c r="W49" s="772"/>
      <c r="X49" s="772"/>
      <c r="Y49" s="772"/>
      <c r="Z49" s="772"/>
      <c r="AA49" s="772"/>
      <c r="AB49" s="772"/>
      <c r="AC49" s="772"/>
      <c r="AD49" s="772"/>
      <c r="AE49" s="773"/>
    </row>
    <row r="50" spans="1:31" s="128" customFormat="1" ht="18.95" customHeight="1">
      <c r="A50" s="877"/>
      <c r="B50" s="905"/>
      <c r="C50" s="1091"/>
      <c r="D50" s="1092"/>
      <c r="E50" s="1093"/>
      <c r="F50" s="1439" t="s">
        <v>1059</v>
      </c>
      <c r="G50" s="1440"/>
      <c r="H50" s="1440"/>
      <c r="I50" s="1440"/>
      <c r="J50" s="1440"/>
      <c r="K50" s="1440"/>
      <c r="L50" s="1440"/>
      <c r="M50" s="1117">
        <f>ejercicio</f>
        <v>2025</v>
      </c>
      <c r="N50" s="1117"/>
      <c r="O50" s="1118"/>
      <c r="P50" s="904"/>
      <c r="Q50" s="877"/>
      <c r="R50" s="771"/>
      <c r="S50" s="772"/>
      <c r="T50" s="772"/>
      <c r="U50" s="772"/>
      <c r="V50" s="772"/>
      <c r="W50" s="772"/>
      <c r="X50" s="772"/>
      <c r="Y50" s="772"/>
      <c r="Z50" s="772"/>
      <c r="AA50" s="772"/>
      <c r="AB50" s="772"/>
      <c r="AC50" s="772"/>
      <c r="AD50" s="772"/>
      <c r="AE50" s="773"/>
    </row>
    <row r="51" spans="1:31" s="128" customFormat="1" ht="18.95" customHeight="1">
      <c r="A51" s="877"/>
      <c r="B51" s="905"/>
      <c r="C51" s="1423" t="s">
        <v>1017</v>
      </c>
      <c r="D51" s="1424"/>
      <c r="E51" s="1425"/>
      <c r="F51" s="1119">
        <f>ejercicio+1</f>
        <v>2026</v>
      </c>
      <c r="G51" s="1120">
        <f>ejercicio+2</f>
        <v>2027</v>
      </c>
      <c r="H51" s="1120">
        <f>ejercicio+3</f>
        <v>2028</v>
      </c>
      <c r="I51" s="1120">
        <f>ejercicio+4</f>
        <v>2029</v>
      </c>
      <c r="J51" s="1120">
        <f>ejercicio+5</f>
        <v>2030</v>
      </c>
      <c r="K51" s="1120">
        <f>ejercicio+6</f>
        <v>2031</v>
      </c>
      <c r="L51" s="1120">
        <f>ejercicio+7</f>
        <v>2032</v>
      </c>
      <c r="M51" s="1120">
        <f>ejercicio+8</f>
        <v>2033</v>
      </c>
      <c r="N51" s="1120">
        <f>ejercicio+9</f>
        <v>2034</v>
      </c>
      <c r="O51" s="1121">
        <f>ejercicio+10</f>
        <v>2035</v>
      </c>
      <c r="P51" s="904"/>
      <c r="Q51" s="877"/>
      <c r="R51" s="771"/>
      <c r="S51" s="772"/>
      <c r="T51" s="772"/>
      <c r="U51" s="772"/>
      <c r="V51" s="772"/>
      <c r="W51" s="772"/>
      <c r="X51" s="772"/>
      <c r="Y51" s="772"/>
      <c r="Z51" s="772"/>
      <c r="AA51" s="772"/>
      <c r="AB51" s="772"/>
      <c r="AC51" s="772"/>
      <c r="AD51" s="772"/>
      <c r="AE51" s="773"/>
    </row>
    <row r="52" spans="1:31" s="128" customFormat="1" ht="9" customHeight="1">
      <c r="A52" s="877"/>
      <c r="B52" s="905"/>
      <c r="C52" s="1114"/>
      <c r="D52" s="1115"/>
      <c r="E52" s="1116"/>
      <c r="F52" s="1113"/>
      <c r="G52" s="1113"/>
      <c r="H52" s="1113"/>
      <c r="I52" s="1113"/>
      <c r="J52" s="1113"/>
      <c r="K52" s="1113"/>
      <c r="L52" s="1113"/>
      <c r="M52" s="1113"/>
      <c r="N52" s="1113"/>
      <c r="O52" s="1113"/>
      <c r="P52" s="904"/>
      <c r="Q52" s="877"/>
      <c r="R52" s="771"/>
      <c r="S52" s="772"/>
      <c r="T52" s="772"/>
      <c r="U52" s="772"/>
      <c r="V52" s="772"/>
      <c r="W52" s="772"/>
      <c r="X52" s="772"/>
      <c r="Y52" s="772"/>
      <c r="Z52" s="772"/>
      <c r="AA52" s="772"/>
      <c r="AB52" s="772"/>
      <c r="AC52" s="772"/>
      <c r="AD52" s="772"/>
      <c r="AE52" s="773"/>
    </row>
    <row r="53" spans="1:31" s="128" customFormat="1" ht="18.95" customHeight="1">
      <c r="A53" s="877"/>
      <c r="B53" s="905"/>
      <c r="C53" s="1441" t="s">
        <v>1051</v>
      </c>
      <c r="D53" s="1442"/>
      <c r="E53" s="1443"/>
      <c r="F53" s="1112"/>
      <c r="G53" s="1112"/>
      <c r="H53" s="1112"/>
      <c r="I53" s="1112"/>
      <c r="J53" s="1112"/>
      <c r="K53" s="1112"/>
      <c r="L53" s="1112"/>
      <c r="M53" s="1112"/>
      <c r="N53" s="1112"/>
      <c r="O53" s="1112"/>
      <c r="P53" s="904"/>
      <c r="Q53" s="877"/>
      <c r="R53" s="771"/>
      <c r="S53" s="772"/>
      <c r="T53" s="772"/>
      <c r="U53" s="772"/>
      <c r="V53" s="772"/>
      <c r="W53" s="772"/>
      <c r="X53" s="772"/>
      <c r="Y53" s="772"/>
      <c r="Z53" s="772"/>
      <c r="AA53" s="772"/>
      <c r="AB53" s="772"/>
      <c r="AC53" s="772"/>
      <c r="AD53" s="772"/>
      <c r="AE53" s="773"/>
    </row>
    <row r="54" spans="1:31" s="128" customFormat="1" ht="35.25" customHeight="1">
      <c r="A54" s="877"/>
      <c r="B54" s="905"/>
      <c r="C54" s="1414" t="s">
        <v>1052</v>
      </c>
      <c r="D54" s="1415"/>
      <c r="E54" s="1416"/>
      <c r="F54" s="1123">
        <f>SUM(F55:F58)</f>
        <v>0</v>
      </c>
      <c r="G54" s="1123">
        <f t="shared" ref="G54:O54" si="7">SUM(G55:G58)</f>
        <v>0</v>
      </c>
      <c r="H54" s="1123">
        <f t="shared" si="7"/>
        <v>0</v>
      </c>
      <c r="I54" s="1123">
        <f t="shared" si="7"/>
        <v>0</v>
      </c>
      <c r="J54" s="1123">
        <f t="shared" si="7"/>
        <v>0</v>
      </c>
      <c r="K54" s="1123">
        <f t="shared" si="7"/>
        <v>0</v>
      </c>
      <c r="L54" s="1123">
        <f t="shared" si="7"/>
        <v>0</v>
      </c>
      <c r="M54" s="1123">
        <f t="shared" si="7"/>
        <v>0</v>
      </c>
      <c r="N54" s="1123">
        <f t="shared" si="7"/>
        <v>0</v>
      </c>
      <c r="O54" s="1123">
        <f t="shared" si="7"/>
        <v>0</v>
      </c>
      <c r="P54" s="904"/>
      <c r="Q54" s="877"/>
      <c r="R54" s="771"/>
      <c r="S54" s="772"/>
      <c r="T54" s="772"/>
      <c r="U54" s="772"/>
      <c r="V54" s="772"/>
      <c r="W54" s="772"/>
      <c r="X54" s="772"/>
      <c r="Y54" s="772"/>
      <c r="Z54" s="772"/>
      <c r="AA54" s="772"/>
      <c r="AB54" s="772"/>
      <c r="AC54" s="772"/>
      <c r="AD54" s="772"/>
      <c r="AE54" s="773"/>
    </row>
    <row r="55" spans="1:31" s="128" customFormat="1" ht="36" customHeight="1">
      <c r="A55" s="877"/>
      <c r="B55" s="905"/>
      <c r="C55" s="1411" t="s">
        <v>1053</v>
      </c>
      <c r="D55" s="1412"/>
      <c r="E55" s="1413"/>
      <c r="F55" s="929"/>
      <c r="G55" s="929"/>
      <c r="H55" s="929"/>
      <c r="I55" s="929"/>
      <c r="J55" s="929"/>
      <c r="K55" s="929"/>
      <c r="L55" s="929"/>
      <c r="M55" s="929"/>
      <c r="N55" s="929"/>
      <c r="O55" s="929"/>
      <c r="P55" s="904"/>
      <c r="Q55" s="877"/>
      <c r="R55" s="771"/>
      <c r="S55" s="772"/>
      <c r="T55" s="772"/>
      <c r="U55" s="772"/>
      <c r="V55" s="772"/>
      <c r="W55" s="772"/>
      <c r="X55" s="772"/>
      <c r="Y55" s="772"/>
      <c r="Z55" s="772"/>
      <c r="AA55" s="772"/>
      <c r="AB55" s="772"/>
      <c r="AC55" s="772"/>
      <c r="AD55" s="772"/>
      <c r="AE55" s="773"/>
    </row>
    <row r="56" spans="1:31" s="128" customFormat="1" ht="36" customHeight="1">
      <c r="A56" s="877"/>
      <c r="B56" s="905"/>
      <c r="C56" s="1411" t="s">
        <v>1054</v>
      </c>
      <c r="D56" s="1412"/>
      <c r="E56" s="1413"/>
      <c r="F56" s="929"/>
      <c r="G56" s="929"/>
      <c r="H56" s="929"/>
      <c r="I56" s="929"/>
      <c r="J56" s="929"/>
      <c r="K56" s="929"/>
      <c r="L56" s="929"/>
      <c r="M56" s="929"/>
      <c r="N56" s="929"/>
      <c r="O56" s="929"/>
      <c r="P56" s="904"/>
      <c r="Q56" s="877"/>
      <c r="R56" s="771"/>
      <c r="S56" s="772"/>
      <c r="T56" s="772"/>
      <c r="U56" s="772"/>
      <c r="V56" s="772"/>
      <c r="W56" s="772"/>
      <c r="X56" s="772"/>
      <c r="Y56" s="772"/>
      <c r="Z56" s="772"/>
      <c r="AA56" s="772"/>
      <c r="AB56" s="772"/>
      <c r="AC56" s="772"/>
      <c r="AD56" s="772"/>
      <c r="AE56" s="773"/>
    </row>
    <row r="57" spans="1:31" s="128" customFormat="1" ht="35.1" customHeight="1">
      <c r="A57" s="877"/>
      <c r="B57" s="905"/>
      <c r="C57" s="1411" t="s">
        <v>1055</v>
      </c>
      <c r="D57" s="1412"/>
      <c r="E57" s="1413"/>
      <c r="F57" s="929"/>
      <c r="G57" s="929"/>
      <c r="H57" s="929"/>
      <c r="I57" s="929"/>
      <c r="J57" s="929"/>
      <c r="K57" s="929"/>
      <c r="L57" s="929"/>
      <c r="M57" s="929"/>
      <c r="N57" s="929"/>
      <c r="O57" s="929"/>
      <c r="P57" s="904"/>
      <c r="Q57" s="877"/>
      <c r="R57" s="771"/>
      <c r="S57" s="772"/>
      <c r="T57" s="772"/>
      <c r="U57" s="772"/>
      <c r="V57" s="772"/>
      <c r="W57" s="772"/>
      <c r="X57" s="772"/>
      <c r="Y57" s="772"/>
      <c r="Z57" s="772"/>
      <c r="AA57" s="772"/>
      <c r="AB57" s="772"/>
      <c r="AC57" s="772"/>
      <c r="AD57" s="772"/>
      <c r="AE57" s="773"/>
    </row>
    <row r="58" spans="1:31" s="128" customFormat="1" ht="18.95" customHeight="1" thickBot="1">
      <c r="A58" s="877"/>
      <c r="B58" s="905"/>
      <c r="C58" s="1436" t="s">
        <v>602</v>
      </c>
      <c r="D58" s="1437"/>
      <c r="E58" s="1438"/>
      <c r="F58" s="1090"/>
      <c r="G58" s="1090"/>
      <c r="H58" s="1090"/>
      <c r="I58" s="1090"/>
      <c r="J58" s="1090"/>
      <c r="K58" s="1090"/>
      <c r="L58" s="1090"/>
      <c r="M58" s="1090"/>
      <c r="N58" s="1090"/>
      <c r="O58" s="1090"/>
      <c r="P58" s="904"/>
      <c r="Q58" s="877"/>
      <c r="R58" s="771"/>
      <c r="S58" s="772"/>
      <c r="T58" s="772"/>
      <c r="U58" s="772"/>
      <c r="V58" s="772"/>
      <c r="W58" s="772"/>
      <c r="X58" s="772"/>
      <c r="Y58" s="772"/>
      <c r="Z58" s="772"/>
      <c r="AA58" s="772"/>
      <c r="AB58" s="772"/>
      <c r="AC58" s="772"/>
      <c r="AD58" s="772"/>
      <c r="AE58" s="773"/>
    </row>
    <row r="59" spans="1:31" s="128" customFormat="1" ht="18.95" customHeight="1">
      <c r="A59" s="877"/>
      <c r="B59" s="905"/>
      <c r="C59" s="877"/>
      <c r="D59" s="877"/>
      <c r="E59" s="877"/>
      <c r="F59" s="877"/>
      <c r="G59" s="877"/>
      <c r="H59" s="877"/>
      <c r="I59" s="877"/>
      <c r="J59" s="877"/>
      <c r="K59" s="877"/>
      <c r="L59" s="877"/>
      <c r="M59" s="877"/>
      <c r="N59" s="877"/>
      <c r="O59" s="877"/>
      <c r="P59" s="904"/>
      <c r="Q59" s="877"/>
      <c r="R59" s="771"/>
      <c r="S59" s="772"/>
      <c r="T59" s="772"/>
      <c r="U59" s="772"/>
      <c r="V59" s="772"/>
      <c r="W59" s="772"/>
      <c r="X59" s="772"/>
      <c r="Y59" s="772"/>
      <c r="Z59" s="772"/>
      <c r="AA59" s="772"/>
      <c r="AB59" s="772"/>
      <c r="AC59" s="772"/>
      <c r="AD59" s="772"/>
      <c r="AE59" s="773"/>
    </row>
    <row r="60" spans="1:31" s="17" customFormat="1" ht="23.1" customHeight="1">
      <c r="A60" s="877"/>
      <c r="B60" s="905"/>
      <c r="C60" s="308"/>
      <c r="D60" s="308"/>
      <c r="E60" s="150"/>
      <c r="F60" s="150"/>
      <c r="G60" s="150"/>
      <c r="H60" s="150"/>
      <c r="I60" s="150"/>
      <c r="J60" s="150"/>
      <c r="K60" s="150"/>
      <c r="L60" s="150"/>
      <c r="M60" s="150"/>
      <c r="N60" s="150"/>
      <c r="O60" s="150"/>
      <c r="P60" s="81"/>
      <c r="R60" s="771"/>
      <c r="S60" s="772"/>
      <c r="T60" s="772"/>
      <c r="U60" s="772"/>
      <c r="V60" s="772"/>
      <c r="W60" s="772"/>
      <c r="X60" s="772"/>
      <c r="Y60" s="772"/>
      <c r="Z60" s="772"/>
      <c r="AA60" s="772"/>
      <c r="AB60" s="772"/>
      <c r="AC60" s="772"/>
      <c r="AD60" s="772"/>
      <c r="AE60" s="773"/>
    </row>
    <row r="61" spans="1:31" ht="23.1" customHeight="1">
      <c r="B61" s="80"/>
      <c r="C61" s="117" t="s">
        <v>1056</v>
      </c>
      <c r="D61" s="115"/>
      <c r="E61" s="116"/>
      <c r="F61" s="116"/>
      <c r="G61" s="116"/>
      <c r="H61" s="116"/>
      <c r="I61" s="116"/>
      <c r="J61" s="116"/>
      <c r="K61" s="116"/>
      <c r="L61" s="116"/>
      <c r="M61" s="116"/>
      <c r="N61" s="116"/>
      <c r="O61" s="64"/>
      <c r="P61" s="72"/>
      <c r="R61" s="771"/>
      <c r="S61" s="772"/>
      <c r="T61" s="772"/>
      <c r="U61" s="772"/>
      <c r="V61" s="772"/>
      <c r="W61" s="772"/>
      <c r="X61" s="772"/>
      <c r="Y61" s="772"/>
      <c r="Z61" s="772"/>
      <c r="AA61" s="772"/>
      <c r="AB61" s="772"/>
      <c r="AC61" s="772"/>
      <c r="AD61" s="772"/>
      <c r="AE61" s="773"/>
    </row>
    <row r="62" spans="1:31" ht="27.95" customHeight="1">
      <c r="B62" s="80"/>
      <c r="C62" s="1450" t="s">
        <v>1057</v>
      </c>
      <c r="D62" s="1450"/>
      <c r="E62" s="1450"/>
      <c r="F62" s="1450"/>
      <c r="G62" s="1450"/>
      <c r="H62" s="1450"/>
      <c r="I62" s="1450"/>
      <c r="J62" s="1450"/>
      <c r="K62" s="1450"/>
      <c r="L62" s="1450"/>
      <c r="M62" s="1450"/>
      <c r="N62" s="1450"/>
      <c r="O62" s="1450"/>
      <c r="P62" s="72"/>
      <c r="R62" s="771"/>
      <c r="S62" s="772"/>
      <c r="T62" s="772"/>
      <c r="U62" s="772"/>
      <c r="V62" s="772"/>
      <c r="W62" s="772"/>
      <c r="X62" s="772"/>
      <c r="Y62" s="772"/>
      <c r="Z62" s="772"/>
      <c r="AA62" s="772"/>
      <c r="AB62" s="772"/>
      <c r="AC62" s="772"/>
      <c r="AD62" s="772"/>
      <c r="AE62" s="773"/>
    </row>
    <row r="63" spans="1:31" ht="18.95" customHeight="1">
      <c r="B63" s="80"/>
      <c r="C63" s="634"/>
      <c r="D63" s="1124"/>
      <c r="E63" s="1124"/>
      <c r="F63" s="1124"/>
      <c r="G63" s="1124"/>
      <c r="H63" s="1124"/>
      <c r="I63" s="1124"/>
      <c r="J63" s="1124"/>
      <c r="K63" s="1124"/>
      <c r="L63" s="1124"/>
      <c r="M63" s="1124"/>
      <c r="N63" s="1124"/>
      <c r="O63" s="1124"/>
      <c r="P63" s="72"/>
      <c r="R63" s="771"/>
      <c r="S63" s="772"/>
      <c r="T63" s="772"/>
      <c r="U63" s="772"/>
      <c r="V63" s="772"/>
      <c r="W63" s="772"/>
      <c r="X63" s="772"/>
      <c r="Y63" s="772"/>
      <c r="Z63" s="772"/>
      <c r="AA63" s="772"/>
      <c r="AB63" s="772"/>
      <c r="AC63" s="772"/>
      <c r="AD63" s="772"/>
      <c r="AE63" s="773"/>
    </row>
    <row r="64" spans="1:31" ht="23.1" customHeight="1" thickBot="1">
      <c r="B64" s="83"/>
      <c r="C64" s="1228"/>
      <c r="D64" s="1228"/>
      <c r="E64" s="33"/>
      <c r="F64" s="33"/>
      <c r="G64" s="33"/>
      <c r="H64" s="33"/>
      <c r="I64" s="33"/>
      <c r="J64" s="33"/>
      <c r="K64" s="33"/>
      <c r="L64" s="33"/>
      <c r="M64" s="33"/>
      <c r="N64" s="33"/>
      <c r="O64" s="84"/>
      <c r="P64" s="85"/>
      <c r="R64" s="776"/>
      <c r="S64" s="777"/>
      <c r="T64" s="777"/>
      <c r="U64" s="777"/>
      <c r="V64" s="777"/>
      <c r="W64" s="777"/>
      <c r="X64" s="777"/>
      <c r="Y64" s="777"/>
      <c r="Z64" s="777"/>
      <c r="AA64" s="777"/>
      <c r="AB64" s="777"/>
      <c r="AC64" s="777"/>
      <c r="AD64" s="777"/>
      <c r="AE64" s="778"/>
    </row>
    <row r="65" spans="3:17" ht="23.1" customHeight="1">
      <c r="Q65" s="65" t="s">
        <v>248</v>
      </c>
    </row>
    <row r="66" spans="3:17" ht="12.75">
      <c r="C66" s="86" t="s">
        <v>98</v>
      </c>
      <c r="O66" s="63" t="s">
        <v>1060</v>
      </c>
    </row>
    <row r="67" spans="3:17" ht="12.75">
      <c r="C67" s="86" t="s">
        <v>100</v>
      </c>
    </row>
    <row r="68" spans="3:17" ht="12.75">
      <c r="C68" s="86" t="s">
        <v>101</v>
      </c>
    </row>
    <row r="69" spans="3:17" ht="12.75">
      <c r="C69" s="86" t="s">
        <v>102</v>
      </c>
    </row>
    <row r="70" spans="3:17" ht="12.75">
      <c r="C70" s="86" t="s">
        <v>103</v>
      </c>
    </row>
  </sheetData>
  <sheetProtection sheet="1" objects="1" scenarios="1"/>
  <mergeCells count="30">
    <mergeCell ref="C37:E37"/>
    <mergeCell ref="C39:E39"/>
    <mergeCell ref="F13:L13"/>
    <mergeCell ref="C64:D64"/>
    <mergeCell ref="O6:O7"/>
    <mergeCell ref="D9:O9"/>
    <mergeCell ref="C12:D12"/>
    <mergeCell ref="C62:O62"/>
    <mergeCell ref="C16:E16"/>
    <mergeCell ref="C21:E21"/>
    <mergeCell ref="C23:E23"/>
    <mergeCell ref="C25:E25"/>
    <mergeCell ref="C42:E42"/>
    <mergeCell ref="C45:E45"/>
    <mergeCell ref="C48:E48"/>
    <mergeCell ref="C13:E13"/>
    <mergeCell ref="C14:E14"/>
    <mergeCell ref="C15:E15"/>
    <mergeCell ref="C30:E30"/>
    <mergeCell ref="C31:E31"/>
    <mergeCell ref="C35:E35"/>
    <mergeCell ref="C36:E36"/>
    <mergeCell ref="C57:E57"/>
    <mergeCell ref="C58:E58"/>
    <mergeCell ref="F50:L50"/>
    <mergeCell ref="C51:E51"/>
    <mergeCell ref="C53:E53"/>
    <mergeCell ref="C54:E54"/>
    <mergeCell ref="C55:E55"/>
    <mergeCell ref="C56:E56"/>
  </mergeCells>
  <phoneticPr fontId="5" type="noConversion"/>
  <printOptions horizontalCentered="1" verticalCentered="1"/>
  <pageMargins left="0.35629921259842523" right="0.35629921259842523" top="0.60629921259842523" bottom="0.60629921259842523" header="0.5" footer="0.5"/>
  <pageSetup paperSize="9" scale="40" orientation="portrait" horizontalDpi="4294967292" verticalDpi="4294967292" r:id="rId1"/>
  <drawing r:id="rId2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F2454EF-2307-4EEF-9D9F-3218FB85D662}">
  <sheetPr codeName="Hoja18">
    <pageSetUpPr fitToPage="1"/>
  </sheetPr>
  <dimension ref="A2:Z72"/>
  <sheetViews>
    <sheetView topLeftCell="A29" zoomScaleNormal="100" workbookViewId="0">
      <selection activeCell="F53" sqref="F53"/>
    </sheetView>
  </sheetViews>
  <sheetFormatPr baseColWidth="10" defaultColWidth="10.6640625" defaultRowHeight="23.1" customHeight="1"/>
  <cols>
    <col min="1" max="1" width="4.109375" style="65" bestFit="1" customWidth="1"/>
    <col min="2" max="2" width="3.109375" style="65" customWidth="1"/>
    <col min="3" max="3" width="5.33203125" style="65" customWidth="1"/>
    <col min="4" max="4" width="18.88671875" style="65" customWidth="1"/>
    <col min="5" max="5" width="13.33203125" style="65" customWidth="1"/>
    <col min="6" max="10" width="18.6640625" style="66" customWidth="1"/>
    <col min="11" max="11" width="3.33203125" style="65" customWidth="1"/>
    <col min="12" max="16384" width="10.6640625" style="65"/>
  </cols>
  <sheetData>
    <row r="2" spans="1:26" ht="23.1" customHeight="1">
      <c r="E2" s="391" t="str">
        <f>_GENERAL!D2</f>
        <v>Área de la Presidenta: Igualdad y Diversidad, Hacienda y Proyectos Estratégicos</v>
      </c>
    </row>
    <row r="3" spans="1:26" ht="23.1" customHeight="1">
      <c r="E3" s="391" t="str">
        <f>_GENERAL!D3</f>
        <v>Dirección Insular de Hacienda</v>
      </c>
    </row>
    <row r="4" spans="1:26" ht="23.1" customHeight="1" thickBot="1">
      <c r="A4" s="65" t="s">
        <v>195</v>
      </c>
    </row>
    <row r="5" spans="1:26" ht="9" customHeight="1">
      <c r="B5" s="67"/>
      <c r="C5" s="68"/>
      <c r="D5" s="68"/>
      <c r="E5" s="68"/>
      <c r="F5" s="69"/>
      <c r="G5" s="69"/>
      <c r="H5" s="69"/>
      <c r="I5" s="69"/>
      <c r="J5" s="69"/>
      <c r="K5" s="70"/>
      <c r="M5" s="746"/>
      <c r="N5" s="747"/>
      <c r="O5" s="747"/>
      <c r="P5" s="747"/>
      <c r="Q5" s="747"/>
      <c r="R5" s="747"/>
      <c r="S5" s="747"/>
      <c r="T5" s="747"/>
      <c r="U5" s="747"/>
      <c r="V5" s="747"/>
      <c r="W5" s="747"/>
      <c r="X5" s="747"/>
      <c r="Y5" s="747"/>
      <c r="Z5" s="744"/>
    </row>
    <row r="6" spans="1:26" ht="30" customHeight="1">
      <c r="B6" s="71"/>
      <c r="C6" s="40" t="s">
        <v>2</v>
      </c>
      <c r="E6" s="66"/>
      <c r="J6" s="1212">
        <f>ejercicio</f>
        <v>2025</v>
      </c>
      <c r="K6" s="72"/>
      <c r="M6" s="754"/>
      <c r="N6" s="755" t="s">
        <v>196</v>
      </c>
      <c r="O6" s="756"/>
      <c r="P6" s="756"/>
      <c r="Q6" s="756"/>
      <c r="R6" s="756"/>
      <c r="S6" s="756"/>
      <c r="T6" s="756"/>
      <c r="U6" s="756"/>
      <c r="V6" s="756"/>
      <c r="W6" s="756"/>
      <c r="X6" s="756"/>
      <c r="Y6" s="756"/>
      <c r="Z6" s="255"/>
    </row>
    <row r="7" spans="1:26" ht="30" customHeight="1">
      <c r="B7" s="71"/>
      <c r="C7" s="40" t="s">
        <v>3</v>
      </c>
      <c r="E7" s="66"/>
      <c r="J7" s="1212"/>
      <c r="K7" s="72"/>
      <c r="M7" s="771"/>
      <c r="N7" s="772"/>
      <c r="O7" s="772"/>
      <c r="P7" s="772"/>
      <c r="Q7" s="772"/>
      <c r="R7" s="772"/>
      <c r="S7" s="772"/>
      <c r="T7" s="772"/>
      <c r="U7" s="772"/>
      <c r="V7" s="772"/>
      <c r="W7" s="772"/>
      <c r="X7" s="772"/>
      <c r="Y7" s="772"/>
      <c r="Z7" s="773"/>
    </row>
    <row r="8" spans="1:26" ht="30" customHeight="1">
      <c r="B8" s="71"/>
      <c r="C8" s="73"/>
      <c r="E8" s="66"/>
      <c r="J8" s="74"/>
      <c r="K8" s="72"/>
      <c r="M8" s="771"/>
      <c r="N8" s="772"/>
      <c r="O8" s="772"/>
      <c r="P8" s="772"/>
      <c r="Q8" s="772"/>
      <c r="R8" s="772"/>
      <c r="S8" s="772"/>
      <c r="T8" s="772"/>
      <c r="U8" s="772"/>
      <c r="V8" s="772"/>
      <c r="W8" s="772"/>
      <c r="X8" s="772"/>
      <c r="Y8" s="772"/>
      <c r="Z8" s="773"/>
    </row>
    <row r="9" spans="1:26" s="128" customFormat="1" ht="30" customHeight="1">
      <c r="A9" s="877"/>
      <c r="B9" s="905"/>
      <c r="C9" s="21" t="s">
        <v>105</v>
      </c>
      <c r="D9" s="169"/>
      <c r="E9" s="1229" t="str">
        <f>Entidad</f>
        <v>(MERCATENERIFE) Mercados Centrales de Abastecimiento de Tenerife, S.A.</v>
      </c>
      <c r="F9" s="1229"/>
      <c r="G9" s="1229"/>
      <c r="H9" s="1229"/>
      <c r="I9" s="1229"/>
      <c r="J9" s="1229"/>
      <c r="K9" s="72"/>
      <c r="L9" s="877"/>
      <c r="M9" s="771"/>
      <c r="N9" s="772"/>
      <c r="O9" s="772"/>
      <c r="P9" s="772"/>
      <c r="Q9" s="772"/>
      <c r="R9" s="772"/>
      <c r="S9" s="772"/>
      <c r="T9" s="772"/>
      <c r="U9" s="772"/>
      <c r="V9" s="772"/>
      <c r="W9" s="772"/>
      <c r="X9" s="772"/>
      <c r="Y9" s="772"/>
      <c r="Z9" s="773"/>
    </row>
    <row r="10" spans="1:26" ht="6.95" customHeight="1">
      <c r="B10" s="71"/>
      <c r="E10" s="66"/>
      <c r="J10" s="65"/>
      <c r="K10" s="72"/>
      <c r="M10" s="771"/>
      <c r="N10" s="772"/>
      <c r="O10" s="772"/>
      <c r="P10" s="772"/>
      <c r="Q10" s="772"/>
      <c r="R10" s="772"/>
      <c r="S10" s="772"/>
      <c r="T10" s="772"/>
      <c r="U10" s="772"/>
      <c r="V10" s="772"/>
      <c r="W10" s="772"/>
      <c r="X10" s="772"/>
      <c r="Y10" s="772"/>
      <c r="Z10" s="773"/>
    </row>
    <row r="11" spans="1:26" s="79" customFormat="1" ht="30" customHeight="1">
      <c r="B11" s="75"/>
      <c r="C11" s="76" t="s">
        <v>1061</v>
      </c>
      <c r="D11" s="76"/>
      <c r="E11" s="77"/>
      <c r="F11" s="77"/>
      <c r="G11" s="77"/>
      <c r="H11" s="77"/>
      <c r="I11" s="77"/>
      <c r="J11" s="77"/>
      <c r="K11" s="72"/>
      <c r="M11" s="771"/>
      <c r="N11" s="772"/>
      <c r="O11" s="772"/>
      <c r="P11" s="772"/>
      <c r="Q11" s="772"/>
      <c r="R11" s="772"/>
      <c r="S11" s="772"/>
      <c r="T11" s="772"/>
      <c r="U11" s="772"/>
      <c r="V11" s="772"/>
      <c r="W11" s="772"/>
      <c r="X11" s="772"/>
      <c r="Y11" s="772"/>
      <c r="Z11" s="773"/>
    </row>
    <row r="12" spans="1:26" s="79" customFormat="1" ht="30" customHeight="1">
      <c r="A12" s="65"/>
      <c r="B12" s="75"/>
      <c r="C12" s="1237"/>
      <c r="D12" s="1237"/>
      <c r="E12" s="64"/>
      <c r="F12" s="64"/>
      <c r="G12" s="64"/>
      <c r="H12" s="64"/>
      <c r="I12" s="64"/>
      <c r="J12" s="168"/>
      <c r="K12" s="72"/>
      <c r="M12" s="771"/>
      <c r="N12" s="772"/>
      <c r="O12" s="772"/>
      <c r="P12" s="772"/>
      <c r="Q12" s="772"/>
      <c r="R12" s="772"/>
      <c r="S12" s="772"/>
      <c r="T12" s="772"/>
      <c r="U12" s="772"/>
      <c r="V12" s="772"/>
      <c r="W12" s="772"/>
      <c r="X12" s="772"/>
      <c r="Y12" s="772"/>
      <c r="Z12" s="773"/>
    </row>
    <row r="13" spans="1:26" ht="29.1" customHeight="1">
      <c r="B13" s="80"/>
      <c r="C13" s="38" t="s">
        <v>1062</v>
      </c>
      <c r="D13" s="906"/>
      <c r="E13" s="64"/>
      <c r="F13" s="64"/>
      <c r="G13" s="64"/>
      <c r="H13" s="64"/>
      <c r="I13" s="64"/>
      <c r="J13" s="65"/>
      <c r="K13" s="72"/>
      <c r="M13" s="771"/>
      <c r="N13" s="772"/>
      <c r="O13" s="772"/>
      <c r="P13" s="772"/>
      <c r="Q13" s="772"/>
      <c r="R13" s="772"/>
      <c r="S13" s="772"/>
      <c r="T13" s="772"/>
      <c r="U13" s="772"/>
      <c r="V13" s="772"/>
      <c r="W13" s="772"/>
      <c r="X13" s="772"/>
      <c r="Y13" s="772"/>
      <c r="Z13" s="773"/>
    </row>
    <row r="14" spans="1:26" ht="24.95" customHeight="1">
      <c r="B14" s="80"/>
      <c r="C14" s="1133" t="s">
        <v>1063</v>
      </c>
      <c r="D14" s="294"/>
      <c r="E14" s="906"/>
      <c r="F14" s="64"/>
      <c r="G14" s="64"/>
      <c r="H14" s="64"/>
      <c r="I14" s="64"/>
      <c r="J14" s="64"/>
      <c r="K14" s="72"/>
      <c r="M14" s="771"/>
      <c r="N14" s="772"/>
      <c r="O14" s="772"/>
      <c r="P14" s="772"/>
      <c r="Q14" s="772"/>
      <c r="R14" s="772"/>
      <c r="S14" s="772"/>
      <c r="T14" s="772"/>
      <c r="U14" s="772"/>
      <c r="V14" s="772"/>
      <c r="W14" s="772"/>
      <c r="X14" s="772"/>
      <c r="Y14" s="772"/>
      <c r="Z14" s="773"/>
    </row>
    <row r="15" spans="1:26" ht="23.1" customHeight="1">
      <c r="B15" s="80"/>
      <c r="C15" s="289" t="s">
        <v>1064</v>
      </c>
      <c r="D15" s="597" t="s">
        <v>1065</v>
      </c>
      <c r="F15" s="64"/>
      <c r="G15" s="64"/>
      <c r="H15" s="64"/>
      <c r="I15" s="64"/>
      <c r="J15" s="64"/>
      <c r="K15" s="72"/>
      <c r="M15" s="771"/>
      <c r="N15" s="772"/>
      <c r="O15" s="772"/>
      <c r="P15" s="772"/>
      <c r="Q15" s="772"/>
      <c r="R15" s="772"/>
      <c r="S15" s="772"/>
      <c r="T15" s="772"/>
      <c r="U15" s="772"/>
      <c r="V15" s="772"/>
      <c r="W15" s="772"/>
      <c r="X15" s="772"/>
      <c r="Y15" s="772"/>
      <c r="Z15" s="773"/>
    </row>
    <row r="16" spans="1:26" ht="9" customHeight="1">
      <c r="B16" s="80"/>
      <c r="C16" s="109"/>
      <c r="D16" s="597"/>
      <c r="F16" s="64"/>
      <c r="G16" s="64"/>
      <c r="H16" s="64"/>
      <c r="I16" s="64"/>
      <c r="J16" s="64"/>
      <c r="K16" s="72"/>
      <c r="M16" s="771"/>
      <c r="N16" s="772"/>
      <c r="O16" s="772"/>
      <c r="P16" s="772"/>
      <c r="Q16" s="772"/>
      <c r="R16" s="772"/>
      <c r="S16" s="772"/>
      <c r="T16" s="772"/>
      <c r="U16" s="772"/>
      <c r="V16" s="772"/>
      <c r="W16" s="772"/>
      <c r="X16" s="772"/>
      <c r="Y16" s="772"/>
      <c r="Z16" s="773"/>
    </row>
    <row r="17" spans="1:26" ht="23.1" customHeight="1">
      <c r="B17" s="80"/>
      <c r="C17" s="289"/>
      <c r="D17" s="597" t="s">
        <v>1066</v>
      </c>
      <c r="F17" s="64"/>
      <c r="G17" s="64"/>
      <c r="H17" s="64"/>
      <c r="I17" s="64"/>
      <c r="J17" s="64"/>
      <c r="K17" s="72"/>
      <c r="M17" s="771"/>
      <c r="N17" s="772"/>
      <c r="O17" s="772"/>
      <c r="P17" s="772"/>
      <c r="Q17" s="772"/>
      <c r="R17" s="772"/>
      <c r="S17" s="772"/>
      <c r="T17" s="772"/>
      <c r="U17" s="772"/>
      <c r="V17" s="772"/>
      <c r="W17" s="772"/>
      <c r="X17" s="772"/>
      <c r="Y17" s="772"/>
      <c r="Z17" s="773"/>
    </row>
    <row r="18" spans="1:26" ht="9.9499999999999993" customHeight="1">
      <c r="B18" s="80"/>
      <c r="C18" s="109"/>
      <c r="D18" s="597"/>
      <c r="F18" s="64"/>
      <c r="G18" s="64"/>
      <c r="H18" s="64"/>
      <c r="I18" s="64"/>
      <c r="J18" s="64"/>
      <c r="K18" s="72"/>
      <c r="M18" s="771"/>
      <c r="N18" s="772"/>
      <c r="O18" s="772"/>
      <c r="P18" s="772"/>
      <c r="Q18" s="772"/>
      <c r="R18" s="772"/>
      <c r="S18" s="772"/>
      <c r="T18" s="772"/>
      <c r="U18" s="772"/>
      <c r="V18" s="772"/>
      <c r="W18" s="772"/>
      <c r="X18" s="772"/>
      <c r="Y18" s="772"/>
      <c r="Z18" s="773"/>
    </row>
    <row r="19" spans="1:26" ht="23.1" customHeight="1">
      <c r="B19" s="80"/>
      <c r="C19" s="289"/>
      <c r="D19" s="597" t="s">
        <v>1067</v>
      </c>
      <c r="F19" s="64"/>
      <c r="G19" s="64"/>
      <c r="H19" s="64"/>
      <c r="I19" s="64"/>
      <c r="J19" s="64"/>
      <c r="K19" s="72"/>
      <c r="M19" s="771"/>
      <c r="N19" s="772"/>
      <c r="O19" s="772"/>
      <c r="P19" s="772"/>
      <c r="Q19" s="772"/>
      <c r="R19" s="772"/>
      <c r="S19" s="772"/>
      <c r="T19" s="772"/>
      <c r="U19" s="772"/>
      <c r="V19" s="772"/>
      <c r="W19" s="772"/>
      <c r="X19" s="772"/>
      <c r="Y19" s="772"/>
      <c r="Z19" s="773"/>
    </row>
    <row r="20" spans="1:26" ht="9" customHeight="1">
      <c r="B20" s="80"/>
      <c r="C20" s="109"/>
      <c r="D20" s="597"/>
      <c r="F20" s="64"/>
      <c r="G20" s="64"/>
      <c r="H20" s="64"/>
      <c r="I20" s="64"/>
      <c r="J20" s="64"/>
      <c r="K20" s="72"/>
      <c r="M20" s="771"/>
      <c r="N20" s="772"/>
      <c r="O20" s="772"/>
      <c r="P20" s="772"/>
      <c r="Q20" s="772"/>
      <c r="R20" s="772"/>
      <c r="S20" s="772"/>
      <c r="T20" s="772"/>
      <c r="U20" s="772"/>
      <c r="V20" s="772"/>
      <c r="W20" s="772"/>
      <c r="X20" s="772"/>
      <c r="Y20" s="772"/>
      <c r="Z20" s="773"/>
    </row>
    <row r="21" spans="1:26" ht="23.1" customHeight="1">
      <c r="B21" s="80"/>
      <c r="C21" s="289"/>
      <c r="D21" s="597" t="s">
        <v>1068</v>
      </c>
      <c r="F21" s="64"/>
      <c r="G21" s="64"/>
      <c r="H21" s="64"/>
      <c r="I21" s="64"/>
      <c r="J21" s="64"/>
      <c r="K21" s="72"/>
      <c r="M21" s="771"/>
      <c r="N21" s="772"/>
      <c r="O21" s="772"/>
      <c r="P21" s="772"/>
      <c r="Q21" s="772"/>
      <c r="R21" s="772"/>
      <c r="S21" s="772"/>
      <c r="T21" s="772"/>
      <c r="U21" s="772"/>
      <c r="V21" s="772"/>
      <c r="W21" s="772"/>
      <c r="X21" s="772"/>
      <c r="Y21" s="772"/>
      <c r="Z21" s="773"/>
    </row>
    <row r="22" spans="1:26" ht="9" customHeight="1">
      <c r="B22" s="80"/>
      <c r="C22" s="109"/>
      <c r="D22" s="597"/>
      <c r="F22" s="64"/>
      <c r="G22" s="64"/>
      <c r="H22" s="64"/>
      <c r="I22" s="64"/>
      <c r="J22" s="64"/>
      <c r="K22" s="72"/>
      <c r="M22" s="771"/>
      <c r="N22" s="772"/>
      <c r="O22" s="772"/>
      <c r="P22" s="772"/>
      <c r="Q22" s="772"/>
      <c r="R22" s="772"/>
      <c r="S22" s="772"/>
      <c r="T22" s="772"/>
      <c r="U22" s="772"/>
      <c r="V22" s="772"/>
      <c r="W22" s="772"/>
      <c r="X22" s="772"/>
      <c r="Y22" s="772"/>
      <c r="Z22" s="773"/>
    </row>
    <row r="23" spans="1:26" ht="23.1" customHeight="1">
      <c r="B23" s="80"/>
      <c r="C23" s="289"/>
      <c r="D23" s="597" t="s">
        <v>1069</v>
      </c>
      <c r="F23" s="64"/>
      <c r="G23" s="64"/>
      <c r="H23" s="64"/>
      <c r="I23" s="64"/>
      <c r="J23" s="64"/>
      <c r="K23" s="72"/>
      <c r="M23" s="771"/>
      <c r="N23" s="772"/>
      <c r="O23" s="772"/>
      <c r="P23" s="772"/>
      <c r="Q23" s="772"/>
      <c r="R23" s="772"/>
      <c r="S23" s="772"/>
      <c r="T23" s="772"/>
      <c r="U23" s="772"/>
      <c r="V23" s="772"/>
      <c r="W23" s="772"/>
      <c r="X23" s="772"/>
      <c r="Y23" s="772"/>
      <c r="Z23" s="773"/>
    </row>
    <row r="24" spans="1:26" ht="23.1" customHeight="1">
      <c r="B24" s="80"/>
      <c r="C24" s="109"/>
      <c r="D24" s="597"/>
      <c r="F24" s="64"/>
      <c r="G24" s="64"/>
      <c r="H24" s="64"/>
      <c r="I24" s="64"/>
      <c r="J24" s="64"/>
      <c r="K24" s="72"/>
      <c r="M24" s="771"/>
      <c r="N24" s="772"/>
      <c r="O24" s="772"/>
      <c r="P24" s="772"/>
      <c r="Q24" s="772"/>
      <c r="R24" s="772"/>
      <c r="S24" s="772"/>
      <c r="T24" s="772"/>
      <c r="U24" s="772"/>
      <c r="V24" s="772"/>
      <c r="W24" s="772"/>
      <c r="X24" s="772"/>
      <c r="Y24" s="772"/>
      <c r="Z24" s="773"/>
    </row>
    <row r="25" spans="1:26" ht="23.1" customHeight="1">
      <c r="B25" s="80"/>
      <c r="C25" s="17"/>
      <c r="D25" s="906"/>
      <c r="E25" s="906"/>
      <c r="F25" s="64"/>
      <c r="G25" s="64"/>
      <c r="H25" s="64"/>
      <c r="I25" s="64"/>
      <c r="J25" s="64"/>
      <c r="K25" s="72"/>
      <c r="M25" s="771"/>
      <c r="N25" s="772"/>
      <c r="O25" s="772"/>
      <c r="P25" s="772"/>
      <c r="Q25" s="772"/>
      <c r="R25" s="772"/>
      <c r="S25" s="772"/>
      <c r="T25" s="772"/>
      <c r="U25" s="772"/>
      <c r="V25" s="772"/>
      <c r="W25" s="772"/>
      <c r="X25" s="772"/>
      <c r="Y25" s="772"/>
      <c r="Z25" s="773"/>
    </row>
    <row r="26" spans="1:26" ht="23.1" customHeight="1">
      <c r="B26" s="80"/>
      <c r="C26" s="38" t="s">
        <v>1070</v>
      </c>
      <c r="E26" s="906"/>
      <c r="F26" s="64"/>
      <c r="G26" s="64"/>
      <c r="H26" s="64"/>
      <c r="I26" s="64"/>
      <c r="J26" s="64"/>
      <c r="K26" s="72"/>
      <c r="M26" s="771"/>
      <c r="N26" s="772"/>
      <c r="O26" s="772"/>
      <c r="P26" s="772"/>
      <c r="Q26" s="772"/>
      <c r="R26" s="772"/>
      <c r="S26" s="772"/>
      <c r="T26" s="772"/>
      <c r="U26" s="772"/>
      <c r="V26" s="772"/>
      <c r="W26" s="772"/>
      <c r="X26" s="772"/>
      <c r="Y26" s="772"/>
      <c r="Z26" s="773"/>
    </row>
    <row r="27" spans="1:26" ht="9" customHeight="1">
      <c r="B27" s="80"/>
      <c r="C27" s="38"/>
      <c r="E27" s="906"/>
      <c r="F27" s="64"/>
      <c r="G27" s="64"/>
      <c r="H27" s="64"/>
      <c r="I27" s="64"/>
      <c r="J27" s="64"/>
      <c r="K27" s="72"/>
      <c r="M27" s="771"/>
      <c r="N27" s="772"/>
      <c r="O27" s="772"/>
      <c r="P27" s="772"/>
      <c r="Q27" s="772"/>
      <c r="R27" s="772"/>
      <c r="S27" s="772"/>
      <c r="T27" s="772"/>
      <c r="U27" s="772"/>
      <c r="V27" s="772"/>
      <c r="W27" s="772"/>
      <c r="X27" s="772"/>
      <c r="Y27" s="772"/>
      <c r="Z27" s="773"/>
    </row>
    <row r="28" spans="1:26" ht="23.1" customHeight="1">
      <c r="B28" s="80"/>
      <c r="C28" s="129" t="str">
        <f>IF(VLOOKUP("X",C15:D23,2,FALSE)="#N/A",VLOOKUP("x",C15:D23,2,FALSE),VLOOKUP("X",C15:D23,2,FALSE))</f>
        <v xml:space="preserve">  Administracion General y Resto de sectores</v>
      </c>
      <c r="D28" s="130"/>
      <c r="E28" s="130"/>
      <c r="F28" s="130"/>
      <c r="G28" s="130"/>
      <c r="H28" s="176"/>
      <c r="I28" s="64"/>
      <c r="J28" s="64"/>
      <c r="K28" s="72"/>
      <c r="M28" s="771"/>
      <c r="N28" s="772"/>
      <c r="O28" s="772"/>
      <c r="P28" s="772"/>
      <c r="Q28" s="772"/>
      <c r="R28" s="772"/>
      <c r="S28" s="772"/>
      <c r="T28" s="772"/>
      <c r="U28" s="772"/>
      <c r="V28" s="772"/>
      <c r="W28" s="772"/>
      <c r="X28" s="772"/>
      <c r="Y28" s="772"/>
      <c r="Z28" s="773"/>
    </row>
    <row r="29" spans="1:26" ht="23.1" customHeight="1">
      <c r="B29" s="80"/>
      <c r="C29" s="17"/>
      <c r="D29" s="906"/>
      <c r="E29" s="906"/>
      <c r="F29" s="64"/>
      <c r="G29" s="64"/>
      <c r="H29" s="64"/>
      <c r="I29" s="64"/>
      <c r="J29" s="64"/>
      <c r="K29" s="72"/>
      <c r="M29" s="771"/>
      <c r="N29" s="772"/>
      <c r="O29" s="772"/>
      <c r="P29" s="772"/>
      <c r="Q29" s="772"/>
      <c r="R29" s="772"/>
      <c r="S29" s="772"/>
      <c r="T29" s="772"/>
      <c r="U29" s="772"/>
      <c r="V29" s="772"/>
      <c r="W29" s="772"/>
      <c r="X29" s="772"/>
      <c r="Y29" s="772"/>
      <c r="Z29" s="773"/>
    </row>
    <row r="30" spans="1:26" s="73" customFormat="1" ht="23.1" customHeight="1">
      <c r="A30" s="65"/>
      <c r="B30" s="114"/>
      <c r="C30" s="129" t="s">
        <v>1071</v>
      </c>
      <c r="D30" s="124"/>
      <c r="E30" s="144"/>
      <c r="F30" s="131">
        <f>E45</f>
        <v>15</v>
      </c>
      <c r="G30" s="64"/>
      <c r="H30" s="64"/>
      <c r="I30" s="64"/>
      <c r="J30" s="64"/>
      <c r="K30" s="89"/>
      <c r="M30" s="771"/>
      <c r="N30" s="772"/>
      <c r="O30" s="772"/>
      <c r="P30" s="772"/>
      <c r="Q30" s="772"/>
      <c r="R30" s="772"/>
      <c r="S30" s="772"/>
      <c r="T30" s="772"/>
      <c r="U30" s="772"/>
      <c r="V30" s="772"/>
      <c r="W30" s="772"/>
      <c r="X30" s="772"/>
      <c r="Y30" s="772"/>
      <c r="Z30" s="773"/>
    </row>
    <row r="31" spans="1:26" s="73" customFormat="1" ht="23.1" customHeight="1">
      <c r="A31" s="65"/>
      <c r="B31" s="114"/>
      <c r="C31" s="180" t="s">
        <v>1072</v>
      </c>
      <c r="D31" s="181"/>
      <c r="E31" s="182"/>
      <c r="F31" s="131">
        <f>J45+F53</f>
        <v>678188.41999999993</v>
      </c>
      <c r="G31" s="64"/>
      <c r="H31" s="64"/>
      <c r="I31" s="64"/>
      <c r="J31" s="64"/>
      <c r="K31" s="89"/>
      <c r="M31" s="771"/>
      <c r="N31" s="772"/>
      <c r="O31" s="772"/>
      <c r="P31" s="772"/>
      <c r="Q31" s="772"/>
      <c r="R31" s="772"/>
      <c r="S31" s="772"/>
      <c r="T31" s="772"/>
      <c r="U31" s="772"/>
      <c r="V31" s="772"/>
      <c r="W31" s="772"/>
      <c r="X31" s="772"/>
      <c r="Y31" s="772"/>
      <c r="Z31" s="773"/>
    </row>
    <row r="32" spans="1:26" ht="23.1" customHeight="1">
      <c r="B32" s="80"/>
      <c r="D32" s="597"/>
      <c r="E32" s="906"/>
      <c r="F32" s="150"/>
      <c r="G32" s="64"/>
      <c r="H32" s="64"/>
      <c r="I32" s="64"/>
      <c r="J32" s="64"/>
      <c r="K32" s="72"/>
      <c r="M32" s="771"/>
      <c r="N32" s="772"/>
      <c r="O32" s="772"/>
      <c r="P32" s="772"/>
      <c r="Q32" s="772"/>
      <c r="R32" s="772"/>
      <c r="S32" s="772"/>
      <c r="T32" s="772"/>
      <c r="U32" s="772"/>
      <c r="V32" s="772"/>
      <c r="W32" s="772"/>
      <c r="X32" s="772"/>
      <c r="Y32" s="772"/>
      <c r="Z32" s="773"/>
    </row>
    <row r="33" spans="1:26" ht="23.1" customHeight="1">
      <c r="B33" s="80"/>
      <c r="C33" s="17"/>
      <c r="D33" s="906"/>
      <c r="E33" s="906"/>
      <c r="F33" s="64"/>
      <c r="G33" s="64"/>
      <c r="H33" s="64"/>
      <c r="I33" s="64"/>
      <c r="J33" s="64"/>
      <c r="K33" s="72"/>
      <c r="M33" s="771"/>
      <c r="N33" s="772"/>
      <c r="O33" s="772"/>
      <c r="P33" s="772"/>
      <c r="Q33" s="772"/>
      <c r="R33" s="772"/>
      <c r="S33" s="772"/>
      <c r="T33" s="772"/>
      <c r="U33" s="772"/>
      <c r="V33" s="772"/>
      <c r="W33" s="772"/>
      <c r="X33" s="772"/>
      <c r="Y33" s="772"/>
      <c r="Z33" s="773"/>
    </row>
    <row r="34" spans="1:26" ht="23.1" customHeight="1">
      <c r="B34" s="80"/>
      <c r="C34" s="38" t="s">
        <v>1073</v>
      </c>
      <c r="E34" s="906"/>
      <c r="F34" s="64"/>
      <c r="G34" s="64"/>
      <c r="H34" s="64"/>
      <c r="I34" s="64"/>
      <c r="J34" s="64"/>
      <c r="K34" s="72"/>
      <c r="M34" s="771"/>
      <c r="N34" s="772"/>
      <c r="O34" s="772"/>
      <c r="P34" s="772"/>
      <c r="Q34" s="772"/>
      <c r="R34" s="772"/>
      <c r="S34" s="772"/>
      <c r="T34" s="772"/>
      <c r="U34" s="772"/>
      <c r="V34" s="772"/>
      <c r="W34" s="772"/>
      <c r="X34" s="772"/>
      <c r="Y34" s="772"/>
      <c r="Z34" s="773"/>
    </row>
    <row r="35" spans="1:26" ht="23.1" customHeight="1">
      <c r="B35" s="80"/>
      <c r="C35" s="17"/>
      <c r="D35" s="906"/>
      <c r="E35" s="906"/>
      <c r="F35" s="64"/>
      <c r="G35" s="64"/>
      <c r="H35" s="64"/>
      <c r="I35" s="64"/>
      <c r="J35" s="64"/>
      <c r="K35" s="72"/>
      <c r="M35" s="771"/>
      <c r="N35" s="772"/>
      <c r="O35" s="772"/>
      <c r="P35" s="772"/>
      <c r="Q35" s="772"/>
      <c r="R35" s="772"/>
      <c r="S35" s="772"/>
      <c r="T35" s="772"/>
      <c r="U35" s="772"/>
      <c r="V35" s="772"/>
      <c r="W35" s="772"/>
      <c r="X35" s="772"/>
      <c r="Y35" s="772"/>
      <c r="Z35" s="773"/>
    </row>
    <row r="36" spans="1:26" s="157" customFormat="1" ht="23.1" customHeight="1">
      <c r="A36" s="65"/>
      <c r="B36" s="158"/>
      <c r="C36" s="170"/>
      <c r="D36" s="173"/>
      <c r="E36" s="159"/>
      <c r="F36" s="1353" t="s">
        <v>1074</v>
      </c>
      <c r="G36" s="1354"/>
      <c r="H36" s="1354"/>
      <c r="I36" s="1354"/>
      <c r="J36" s="1355"/>
      <c r="K36" s="160"/>
      <c r="M36" s="771"/>
      <c r="N36" s="772"/>
      <c r="O36" s="772"/>
      <c r="P36" s="772"/>
      <c r="Q36" s="772"/>
      <c r="R36" s="772"/>
      <c r="S36" s="772"/>
      <c r="T36" s="772"/>
      <c r="U36" s="772"/>
      <c r="V36" s="772"/>
      <c r="W36" s="772"/>
      <c r="X36" s="772"/>
      <c r="Y36" s="772"/>
      <c r="Z36" s="773"/>
    </row>
    <row r="37" spans="1:26" s="157" customFormat="1" ht="24" customHeight="1">
      <c r="A37" s="65"/>
      <c r="B37" s="158"/>
      <c r="C37" s="1371" t="s">
        <v>1075</v>
      </c>
      <c r="D37" s="1372"/>
      <c r="E37" s="162" t="s">
        <v>1076</v>
      </c>
      <c r="F37" s="161" t="s">
        <v>1077</v>
      </c>
      <c r="G37" s="161" t="s">
        <v>1078</v>
      </c>
      <c r="H37" s="161" t="s">
        <v>1079</v>
      </c>
      <c r="I37" s="161" t="s">
        <v>1080</v>
      </c>
      <c r="J37" s="166" t="s">
        <v>1081</v>
      </c>
      <c r="K37" s="160"/>
      <c r="M37" s="771"/>
      <c r="N37" s="772"/>
      <c r="O37" s="772"/>
      <c r="P37" s="772"/>
      <c r="Q37" s="772"/>
      <c r="R37" s="772"/>
      <c r="S37" s="772"/>
      <c r="T37" s="772"/>
      <c r="U37" s="772"/>
      <c r="V37" s="772"/>
      <c r="W37" s="772"/>
      <c r="X37" s="772"/>
      <c r="Y37" s="772"/>
      <c r="Z37" s="773"/>
    </row>
    <row r="38" spans="1:26" s="157" customFormat="1" ht="24" customHeight="1">
      <c r="A38" s="65"/>
      <c r="B38" s="158"/>
      <c r="C38" s="1375" t="s">
        <v>89</v>
      </c>
      <c r="D38" s="1376"/>
      <c r="E38" s="164" t="s">
        <v>1082</v>
      </c>
      <c r="F38" s="163" t="s">
        <v>1083</v>
      </c>
      <c r="G38" s="163" t="s">
        <v>1084</v>
      </c>
      <c r="H38" s="163" t="s">
        <v>1085</v>
      </c>
      <c r="I38" s="163" t="s">
        <v>1086</v>
      </c>
      <c r="J38" s="165" t="s">
        <v>1086</v>
      </c>
      <c r="K38" s="160"/>
      <c r="M38" s="771"/>
      <c r="N38" s="772"/>
      <c r="O38" s="772"/>
      <c r="P38" s="772"/>
      <c r="Q38" s="772"/>
      <c r="R38" s="772"/>
      <c r="S38" s="772"/>
      <c r="T38" s="772"/>
      <c r="U38" s="772"/>
      <c r="V38" s="772"/>
      <c r="W38" s="772"/>
      <c r="X38" s="772"/>
      <c r="Y38" s="772"/>
      <c r="Z38" s="773"/>
    </row>
    <row r="39" spans="1:26" ht="23.1" customHeight="1">
      <c r="B39" s="80"/>
      <c r="C39" s="602" t="s">
        <v>1087</v>
      </c>
      <c r="D39" s="673"/>
      <c r="E39" s="1048"/>
      <c r="F39" s="429"/>
      <c r="G39" s="429"/>
      <c r="H39" s="429"/>
      <c r="I39" s="429"/>
      <c r="J39" s="295">
        <f t="shared" ref="J39:J44" si="0">SUM(F39:I39)</f>
        <v>0</v>
      </c>
      <c r="K39" s="72"/>
      <c r="M39" s="771"/>
      <c r="N39" s="772"/>
      <c r="O39" s="772"/>
      <c r="P39" s="772"/>
      <c r="Q39" s="772"/>
      <c r="R39" s="772"/>
      <c r="S39" s="772"/>
      <c r="T39" s="772"/>
      <c r="U39" s="772"/>
      <c r="V39" s="772"/>
      <c r="W39" s="772"/>
      <c r="X39" s="772"/>
      <c r="Y39" s="772"/>
      <c r="Z39" s="773"/>
    </row>
    <row r="40" spans="1:26" ht="23.1" customHeight="1">
      <c r="B40" s="80"/>
      <c r="C40" s="602" t="s">
        <v>1088</v>
      </c>
      <c r="D40" s="673"/>
      <c r="E40" s="1048">
        <v>1</v>
      </c>
      <c r="F40" s="429">
        <v>59105.81</v>
      </c>
      <c r="G40" s="429"/>
      <c r="H40" s="429"/>
      <c r="I40" s="429">
        <v>19600.97</v>
      </c>
      <c r="J40" s="295">
        <f t="shared" si="0"/>
        <v>78706.78</v>
      </c>
      <c r="K40" s="72"/>
      <c r="M40" s="771"/>
      <c r="N40" s="772"/>
      <c r="O40" s="772"/>
      <c r="P40" s="772"/>
      <c r="Q40" s="772"/>
      <c r="R40" s="772"/>
      <c r="S40" s="772"/>
      <c r="T40" s="772"/>
      <c r="U40" s="772"/>
      <c r="V40" s="772"/>
      <c r="W40" s="772"/>
      <c r="X40" s="772"/>
      <c r="Y40" s="772"/>
      <c r="Z40" s="773"/>
    </row>
    <row r="41" spans="1:26" ht="23.1" customHeight="1">
      <c r="B41" s="80"/>
      <c r="C41" s="602" t="s">
        <v>1089</v>
      </c>
      <c r="D41" s="673"/>
      <c r="E41" s="1048"/>
      <c r="F41" s="429"/>
      <c r="G41" s="429"/>
      <c r="H41" s="429"/>
      <c r="I41" s="429"/>
      <c r="J41" s="295">
        <f t="shared" si="0"/>
        <v>0</v>
      </c>
      <c r="K41" s="72"/>
      <c r="M41" s="771"/>
      <c r="N41" s="772"/>
      <c r="O41" s="772"/>
      <c r="P41" s="772"/>
      <c r="Q41" s="772"/>
      <c r="R41" s="772"/>
      <c r="S41" s="772"/>
      <c r="T41" s="772"/>
      <c r="U41" s="772"/>
      <c r="V41" s="772"/>
      <c r="W41" s="772"/>
      <c r="X41" s="772"/>
      <c r="Y41" s="772"/>
      <c r="Z41" s="773"/>
    </row>
    <row r="42" spans="1:26" ht="23.1" customHeight="1">
      <c r="B42" s="80"/>
      <c r="C42" s="602" t="s">
        <v>1090</v>
      </c>
      <c r="D42" s="673"/>
      <c r="E42" s="1048">
        <v>14</v>
      </c>
      <c r="F42" s="429">
        <v>276713.99</v>
      </c>
      <c r="G42" s="429"/>
      <c r="H42" s="429"/>
      <c r="I42" s="429">
        <v>162896.34</v>
      </c>
      <c r="J42" s="295">
        <f t="shared" si="0"/>
        <v>439610.32999999996</v>
      </c>
      <c r="K42" s="72"/>
      <c r="M42" s="771"/>
      <c r="N42" s="772"/>
      <c r="O42" s="772"/>
      <c r="P42" s="772"/>
      <c r="Q42" s="772"/>
      <c r="R42" s="772"/>
      <c r="S42" s="772"/>
      <c r="T42" s="772"/>
      <c r="U42" s="772"/>
      <c r="V42" s="772"/>
      <c r="W42" s="772"/>
      <c r="X42" s="772"/>
      <c r="Y42" s="772"/>
      <c r="Z42" s="773"/>
    </row>
    <row r="43" spans="1:26" ht="23.1" customHeight="1">
      <c r="B43" s="80"/>
      <c r="C43" s="602" t="s">
        <v>1091</v>
      </c>
      <c r="D43" s="673"/>
      <c r="E43" s="1048"/>
      <c r="F43" s="429"/>
      <c r="G43" s="429"/>
      <c r="H43" s="429"/>
      <c r="I43" s="429"/>
      <c r="J43" s="295">
        <f t="shared" si="0"/>
        <v>0</v>
      </c>
      <c r="K43" s="72"/>
      <c r="M43" s="771"/>
      <c r="N43" s="772"/>
      <c r="O43" s="772"/>
      <c r="P43" s="772"/>
      <c r="Q43" s="772"/>
      <c r="R43" s="772"/>
      <c r="S43" s="772"/>
      <c r="T43" s="772"/>
      <c r="U43" s="772"/>
      <c r="V43" s="772"/>
      <c r="W43" s="772"/>
      <c r="X43" s="772"/>
      <c r="Y43" s="772"/>
      <c r="Z43" s="773"/>
    </row>
    <row r="44" spans="1:26" ht="23.1" customHeight="1">
      <c r="B44" s="80"/>
      <c r="C44" s="603" t="s">
        <v>1092</v>
      </c>
      <c r="D44" s="1049"/>
      <c r="E44" s="1050"/>
      <c r="F44" s="917"/>
      <c r="G44" s="917"/>
      <c r="H44" s="917"/>
      <c r="I44" s="917"/>
      <c r="J44" s="295">
        <f t="shared" si="0"/>
        <v>0</v>
      </c>
      <c r="K44" s="72"/>
      <c r="M44" s="771"/>
      <c r="N44" s="772"/>
      <c r="O44" s="772"/>
      <c r="P44" s="772"/>
      <c r="Q44" s="772"/>
      <c r="R44" s="772"/>
      <c r="S44" s="772"/>
      <c r="T44" s="772"/>
      <c r="U44" s="772"/>
      <c r="V44" s="772"/>
      <c r="W44" s="772"/>
      <c r="X44" s="772"/>
      <c r="Y44" s="772"/>
      <c r="Z44" s="773"/>
    </row>
    <row r="45" spans="1:26" ht="23.1" customHeight="1" thickBot="1">
      <c r="B45" s="80"/>
      <c r="C45" s="1451" t="s">
        <v>1093</v>
      </c>
      <c r="D45" s="1452"/>
      <c r="E45" s="178">
        <f t="shared" ref="E45:J45" si="1">SUM(E39:E44)</f>
        <v>15</v>
      </c>
      <c r="F45" s="178">
        <f t="shared" si="1"/>
        <v>335819.8</v>
      </c>
      <c r="G45" s="178">
        <f t="shared" si="1"/>
        <v>0</v>
      </c>
      <c r="H45" s="178">
        <f t="shared" si="1"/>
        <v>0</v>
      </c>
      <c r="I45" s="178">
        <f t="shared" si="1"/>
        <v>182497.31</v>
      </c>
      <c r="J45" s="178">
        <f t="shared" si="1"/>
        <v>518317.11</v>
      </c>
      <c r="K45" s="72"/>
      <c r="M45" s="771"/>
      <c r="N45" s="772"/>
      <c r="O45" s="772"/>
      <c r="P45" s="772"/>
      <c r="Q45" s="772"/>
      <c r="R45" s="772"/>
      <c r="S45" s="772"/>
      <c r="T45" s="772"/>
      <c r="U45" s="772"/>
      <c r="V45" s="772"/>
      <c r="W45" s="772"/>
      <c r="X45" s="772"/>
      <c r="Y45" s="772"/>
      <c r="Z45" s="773"/>
    </row>
    <row r="46" spans="1:26" ht="23.1" customHeight="1">
      <c r="B46" s="80"/>
      <c r="C46" s="17"/>
      <c r="D46" s="597"/>
      <c r="E46" s="597"/>
      <c r="F46" s="150"/>
      <c r="G46" s="150"/>
      <c r="H46" s="150"/>
      <c r="I46" s="150"/>
      <c r="J46" s="64"/>
      <c r="K46" s="72"/>
      <c r="M46" s="771"/>
      <c r="N46" s="772"/>
      <c r="O46" s="772"/>
      <c r="P46" s="772"/>
      <c r="Q46" s="772"/>
      <c r="R46" s="772"/>
      <c r="S46" s="772"/>
      <c r="T46" s="772"/>
      <c r="U46" s="772"/>
      <c r="V46" s="772"/>
      <c r="W46" s="772"/>
      <c r="X46" s="772"/>
      <c r="Y46" s="772"/>
      <c r="Z46" s="773"/>
    </row>
    <row r="47" spans="1:26" ht="23.1" customHeight="1">
      <c r="B47" s="80"/>
      <c r="C47" s="17"/>
      <c r="D47" s="597"/>
      <c r="E47" s="597"/>
      <c r="F47" s="150"/>
      <c r="G47" s="150"/>
      <c r="H47" s="150"/>
      <c r="I47" s="150"/>
      <c r="J47" s="64"/>
      <c r="K47" s="72"/>
      <c r="M47" s="771"/>
      <c r="N47" s="772"/>
      <c r="O47" s="772"/>
      <c r="P47" s="772"/>
      <c r="Q47" s="772"/>
      <c r="R47" s="772"/>
      <c r="S47" s="772"/>
      <c r="T47" s="772"/>
      <c r="U47" s="772"/>
      <c r="V47" s="772"/>
      <c r="W47" s="772"/>
      <c r="X47" s="772"/>
      <c r="Y47" s="772"/>
      <c r="Z47" s="773"/>
    </row>
    <row r="48" spans="1:26" ht="23.1" customHeight="1">
      <c r="B48" s="80"/>
      <c r="C48" s="38" t="s">
        <v>1094</v>
      </c>
      <c r="D48" s="597"/>
      <c r="E48" s="597"/>
      <c r="F48" s="150"/>
      <c r="G48" s="150"/>
      <c r="H48" s="150"/>
      <c r="I48" s="150"/>
      <c r="J48" s="64"/>
      <c r="K48" s="72"/>
      <c r="M48" s="771"/>
      <c r="N48" s="772"/>
      <c r="O48" s="772"/>
      <c r="P48" s="772"/>
      <c r="Q48" s="772"/>
      <c r="R48" s="772"/>
      <c r="S48" s="772"/>
      <c r="T48" s="772"/>
      <c r="U48" s="772"/>
      <c r="V48" s="772"/>
      <c r="W48" s="772"/>
      <c r="X48" s="772"/>
      <c r="Y48" s="772"/>
      <c r="Z48" s="773"/>
    </row>
    <row r="49" spans="1:26" ht="23.1" customHeight="1">
      <c r="B49" s="80"/>
      <c r="C49" s="38"/>
      <c r="D49" s="597"/>
      <c r="E49" s="597"/>
      <c r="F49" s="150"/>
      <c r="G49" s="150"/>
      <c r="H49" s="150"/>
      <c r="I49" s="150"/>
      <c r="J49" s="64"/>
      <c r="K49" s="72"/>
      <c r="M49" s="771"/>
      <c r="N49" s="772"/>
      <c r="O49" s="772"/>
      <c r="P49" s="772"/>
      <c r="Q49" s="772"/>
      <c r="R49" s="772"/>
      <c r="S49" s="772"/>
      <c r="T49" s="772"/>
      <c r="U49" s="772"/>
      <c r="V49" s="772"/>
      <c r="W49" s="772"/>
      <c r="X49" s="772"/>
      <c r="Y49" s="772"/>
      <c r="Z49" s="773"/>
    </row>
    <row r="50" spans="1:26" ht="23.1" customHeight="1">
      <c r="B50" s="80"/>
      <c r="C50" s="1353" t="s">
        <v>1017</v>
      </c>
      <c r="D50" s="1354"/>
      <c r="E50" s="1453"/>
      <c r="F50" s="177" t="s">
        <v>966</v>
      </c>
      <c r="G50" s="150"/>
      <c r="H50" s="150"/>
      <c r="I50" s="150"/>
      <c r="J50" s="64"/>
      <c r="K50" s="72"/>
      <c r="M50" s="771"/>
      <c r="N50" s="772"/>
      <c r="O50" s="772"/>
      <c r="P50" s="772"/>
      <c r="Q50" s="772"/>
      <c r="R50" s="772"/>
      <c r="S50" s="772"/>
      <c r="T50" s="772"/>
      <c r="U50" s="772"/>
      <c r="V50" s="772"/>
      <c r="W50" s="772"/>
      <c r="X50" s="772"/>
      <c r="Y50" s="772"/>
      <c r="Z50" s="773"/>
    </row>
    <row r="51" spans="1:26" s="128" customFormat="1" ht="23.1" customHeight="1">
      <c r="A51" s="65"/>
      <c r="B51" s="905"/>
      <c r="C51" s="1051" t="s">
        <v>1095</v>
      </c>
      <c r="D51" s="1052"/>
      <c r="E51" s="1052"/>
      <c r="F51" s="1053">
        <v>4300</v>
      </c>
      <c r="G51" s="150"/>
      <c r="H51" s="150"/>
      <c r="I51" s="150"/>
      <c r="J51" s="106"/>
      <c r="K51" s="904"/>
      <c r="L51" s="877"/>
      <c r="M51" s="771"/>
      <c r="N51" s="772"/>
      <c r="O51" s="772"/>
      <c r="P51" s="772"/>
      <c r="Q51" s="772"/>
      <c r="R51" s="772"/>
      <c r="S51" s="772"/>
      <c r="T51" s="772"/>
      <c r="U51" s="772"/>
      <c r="V51" s="772"/>
      <c r="W51" s="772"/>
      <c r="X51" s="772"/>
      <c r="Y51" s="772"/>
      <c r="Z51" s="773"/>
    </row>
    <row r="52" spans="1:26" s="128" customFormat="1" ht="23.1" customHeight="1">
      <c r="A52" s="65"/>
      <c r="B52" s="905"/>
      <c r="C52" s="1051" t="s">
        <v>1096</v>
      </c>
      <c r="D52" s="1052"/>
      <c r="E52" s="1052"/>
      <c r="F52" s="1053">
        <v>155571.31</v>
      </c>
      <c r="G52" s="150"/>
      <c r="H52" s="150"/>
      <c r="I52" s="150"/>
      <c r="J52" s="106"/>
      <c r="K52" s="904"/>
      <c r="L52" s="877"/>
      <c r="M52" s="771"/>
      <c r="N52" s="772"/>
      <c r="O52" s="772"/>
      <c r="P52" s="772"/>
      <c r="Q52" s="772"/>
      <c r="R52" s="772"/>
      <c r="S52" s="772"/>
      <c r="T52" s="772"/>
      <c r="U52" s="772"/>
      <c r="V52" s="772"/>
      <c r="W52" s="772"/>
      <c r="X52" s="772"/>
      <c r="Y52" s="772"/>
      <c r="Z52" s="773"/>
    </row>
    <row r="53" spans="1:26" ht="23.1" customHeight="1" thickBot="1">
      <c r="B53" s="80"/>
      <c r="C53" s="1451" t="s">
        <v>1093</v>
      </c>
      <c r="D53" s="1454"/>
      <c r="E53" s="179"/>
      <c r="F53" s="178">
        <f>SUM(F51:F52)</f>
        <v>159871.31</v>
      </c>
      <c r="G53" s="150"/>
      <c r="H53" s="150"/>
      <c r="I53" s="150"/>
      <c r="J53" s="106"/>
      <c r="K53" s="72"/>
      <c r="M53" s="771"/>
      <c r="N53" s="772"/>
      <c r="O53" s="772"/>
      <c r="P53" s="772"/>
      <c r="Q53" s="772"/>
      <c r="R53" s="772"/>
      <c r="S53" s="772"/>
      <c r="T53" s="772"/>
      <c r="U53" s="772"/>
      <c r="V53" s="772"/>
      <c r="W53" s="772"/>
      <c r="X53" s="772"/>
      <c r="Y53" s="772"/>
      <c r="Z53" s="773"/>
    </row>
    <row r="54" spans="1:26" ht="23.1" customHeight="1">
      <c r="B54" s="80"/>
      <c r="C54" s="17"/>
      <c r="D54" s="597"/>
      <c r="E54" s="597"/>
      <c r="F54" s="150"/>
      <c r="G54" s="150"/>
      <c r="H54" s="150"/>
      <c r="I54" s="150"/>
      <c r="J54" s="106"/>
      <c r="K54" s="72"/>
      <c r="M54" s="771"/>
      <c r="N54" s="772"/>
      <c r="O54" s="772"/>
      <c r="P54" s="772"/>
      <c r="Q54" s="772"/>
      <c r="R54" s="772"/>
      <c r="S54" s="772"/>
      <c r="T54" s="772"/>
      <c r="U54" s="772"/>
      <c r="V54" s="772"/>
      <c r="W54" s="772"/>
      <c r="X54" s="772"/>
      <c r="Y54" s="772"/>
      <c r="Z54" s="773"/>
    </row>
    <row r="55" spans="1:26" ht="23.1" customHeight="1">
      <c r="B55" s="80"/>
      <c r="C55" s="17"/>
      <c r="D55" s="597"/>
      <c r="E55" s="597"/>
      <c r="F55" s="150"/>
      <c r="G55" s="150"/>
      <c r="H55" s="150"/>
      <c r="I55" s="150"/>
      <c r="J55" s="106"/>
      <c r="K55" s="72"/>
      <c r="M55" s="771"/>
      <c r="N55" s="772"/>
      <c r="O55" s="772"/>
      <c r="P55" s="772"/>
      <c r="Q55" s="772"/>
      <c r="R55" s="772"/>
      <c r="S55" s="772"/>
      <c r="T55" s="772"/>
      <c r="U55" s="772"/>
      <c r="V55" s="772"/>
      <c r="W55" s="772"/>
      <c r="X55" s="772"/>
      <c r="Y55" s="772"/>
      <c r="Z55" s="773"/>
    </row>
    <row r="56" spans="1:26" ht="23.1" customHeight="1">
      <c r="B56" s="80"/>
      <c r="C56" s="38" t="s">
        <v>1097</v>
      </c>
      <c r="D56" s="597"/>
      <c r="E56" s="597"/>
      <c r="F56" s="150"/>
      <c r="G56" s="150"/>
      <c r="H56" s="150"/>
      <c r="I56" s="150"/>
      <c r="J56" s="64"/>
      <c r="K56" s="72"/>
      <c r="M56" s="771"/>
      <c r="N56" s="772"/>
      <c r="O56" s="772"/>
      <c r="P56" s="772"/>
      <c r="Q56" s="772"/>
      <c r="R56" s="772"/>
      <c r="S56" s="772"/>
      <c r="T56" s="772"/>
      <c r="U56" s="772"/>
      <c r="V56" s="772"/>
      <c r="W56" s="772"/>
      <c r="X56" s="772"/>
      <c r="Y56" s="772"/>
      <c r="Z56" s="773"/>
    </row>
    <row r="57" spans="1:26" ht="23.1" customHeight="1">
      <c r="B57" s="80"/>
      <c r="C57" s="1054"/>
      <c r="D57" s="1055"/>
      <c r="E57" s="1055"/>
      <c r="F57" s="1055"/>
      <c r="G57" s="1055"/>
      <c r="H57" s="1055"/>
      <c r="I57" s="1055"/>
      <c r="J57" s="1056"/>
      <c r="K57" s="72"/>
      <c r="M57" s="771"/>
      <c r="N57" s="772"/>
      <c r="O57" s="772"/>
      <c r="P57" s="772"/>
      <c r="Q57" s="772"/>
      <c r="R57" s="772"/>
      <c r="S57" s="772"/>
      <c r="T57" s="772"/>
      <c r="U57" s="772"/>
      <c r="V57" s="772"/>
      <c r="W57" s="772"/>
      <c r="X57" s="772"/>
      <c r="Y57" s="772"/>
      <c r="Z57" s="773"/>
    </row>
    <row r="58" spans="1:26" ht="23.1" customHeight="1">
      <c r="B58" s="80"/>
      <c r="C58" s="1057"/>
      <c r="D58" s="1058"/>
      <c r="E58" s="1058"/>
      <c r="F58" s="1058"/>
      <c r="G58" s="1058"/>
      <c r="H58" s="1058"/>
      <c r="I58" s="1058"/>
      <c r="J58" s="1059"/>
      <c r="K58" s="72"/>
      <c r="M58" s="771"/>
      <c r="N58" s="772"/>
      <c r="O58" s="772"/>
      <c r="P58" s="772"/>
      <c r="Q58" s="772"/>
      <c r="R58" s="772"/>
      <c r="S58" s="772"/>
      <c r="T58" s="772"/>
      <c r="U58" s="772"/>
      <c r="V58" s="772"/>
      <c r="W58" s="772"/>
      <c r="X58" s="772"/>
      <c r="Y58" s="772"/>
      <c r="Z58" s="773"/>
    </row>
    <row r="59" spans="1:26" ht="23.1" customHeight="1">
      <c r="B59" s="80"/>
      <c r="C59" s="1057"/>
      <c r="D59" s="1058"/>
      <c r="E59" s="1058"/>
      <c r="F59" s="1058"/>
      <c r="G59" s="1058"/>
      <c r="H59" s="1058"/>
      <c r="I59" s="1058"/>
      <c r="J59" s="1059"/>
      <c r="K59" s="72"/>
      <c r="M59" s="771"/>
      <c r="N59" s="772"/>
      <c r="O59" s="772"/>
      <c r="P59" s="772"/>
      <c r="Q59" s="772"/>
      <c r="R59" s="772"/>
      <c r="S59" s="772"/>
      <c r="T59" s="772"/>
      <c r="U59" s="772"/>
      <c r="V59" s="772"/>
      <c r="W59" s="772"/>
      <c r="X59" s="772"/>
      <c r="Y59" s="772"/>
      <c r="Z59" s="773"/>
    </row>
    <row r="60" spans="1:26" ht="23.1" customHeight="1">
      <c r="B60" s="80"/>
      <c r="C60" s="1060"/>
      <c r="D60" s="1061"/>
      <c r="E60" s="1061"/>
      <c r="F60" s="1061"/>
      <c r="G60" s="1061"/>
      <c r="H60" s="1061"/>
      <c r="I60" s="1061"/>
      <c r="J60" s="1062"/>
      <c r="K60" s="72"/>
      <c r="M60" s="771"/>
      <c r="N60" s="772"/>
      <c r="O60" s="772"/>
      <c r="P60" s="772"/>
      <c r="Q60" s="772"/>
      <c r="R60" s="772"/>
      <c r="S60" s="772"/>
      <c r="T60" s="772"/>
      <c r="U60" s="772"/>
      <c r="V60" s="772"/>
      <c r="W60" s="772"/>
      <c r="X60" s="772"/>
      <c r="Y60" s="772"/>
      <c r="Z60" s="773"/>
    </row>
    <row r="61" spans="1:26" ht="23.1" customHeight="1">
      <c r="B61" s="80"/>
      <c r="C61" s="1063"/>
      <c r="D61" s="1063"/>
      <c r="E61" s="1063"/>
      <c r="F61" s="1063"/>
      <c r="G61" s="1063"/>
      <c r="H61" s="1063"/>
      <c r="I61" s="1063"/>
      <c r="J61" s="1063"/>
      <c r="K61" s="72"/>
      <c r="M61" s="771"/>
      <c r="N61" s="772"/>
      <c r="O61" s="772"/>
      <c r="P61" s="772"/>
      <c r="Q61" s="772"/>
      <c r="R61" s="772"/>
      <c r="S61" s="772"/>
      <c r="T61" s="772"/>
      <c r="U61" s="772"/>
      <c r="V61" s="772"/>
      <c r="W61" s="772"/>
      <c r="X61" s="772"/>
      <c r="Y61" s="772"/>
      <c r="Z61" s="773"/>
    </row>
    <row r="62" spans="1:26" ht="23.1" customHeight="1">
      <c r="B62" s="80"/>
      <c r="C62" s="389" t="s">
        <v>893</v>
      </c>
      <c r="D62" s="1063"/>
      <c r="E62" s="1063"/>
      <c r="F62" s="1063"/>
      <c r="G62" s="1063"/>
      <c r="H62" s="1063"/>
      <c r="I62" s="1063"/>
      <c r="J62" s="1063"/>
      <c r="K62" s="72"/>
      <c r="M62" s="771"/>
      <c r="N62" s="772"/>
      <c r="O62" s="772"/>
      <c r="P62" s="772"/>
      <c r="Q62" s="772"/>
      <c r="R62" s="772"/>
      <c r="S62" s="772"/>
      <c r="T62" s="772"/>
      <c r="U62" s="772"/>
      <c r="V62" s="772"/>
      <c r="W62" s="772"/>
      <c r="X62" s="772"/>
      <c r="Y62" s="772"/>
      <c r="Z62" s="773"/>
    </row>
    <row r="63" spans="1:26" ht="23.1" customHeight="1">
      <c r="B63" s="80"/>
      <c r="C63" s="19" t="s">
        <v>1098</v>
      </c>
      <c r="D63" s="1063"/>
      <c r="E63" s="1063"/>
      <c r="F63" s="1063"/>
      <c r="G63" s="1063"/>
      <c r="H63" s="1063"/>
      <c r="I63" s="1063"/>
      <c r="J63" s="1063"/>
      <c r="K63" s="72"/>
      <c r="M63" s="771"/>
      <c r="N63" s="772"/>
      <c r="O63" s="772"/>
      <c r="P63" s="772"/>
      <c r="Q63" s="772"/>
      <c r="R63" s="772"/>
      <c r="S63" s="772"/>
      <c r="T63" s="772"/>
      <c r="U63" s="772"/>
      <c r="V63" s="772"/>
      <c r="W63" s="772"/>
      <c r="X63" s="772"/>
      <c r="Y63" s="772"/>
      <c r="Z63" s="773"/>
    </row>
    <row r="64" spans="1:26" ht="23.1" customHeight="1">
      <c r="B64" s="80"/>
      <c r="C64" s="19" t="s">
        <v>1099</v>
      </c>
      <c r="D64" s="1063"/>
      <c r="E64" s="1063"/>
      <c r="F64" s="1063"/>
      <c r="G64" s="1063"/>
      <c r="H64" s="1063"/>
      <c r="I64" s="1063"/>
      <c r="J64" s="1063"/>
      <c r="K64" s="72"/>
      <c r="M64" s="771"/>
      <c r="N64" s="772"/>
      <c r="O64" s="772"/>
      <c r="P64" s="772"/>
      <c r="Q64" s="772"/>
      <c r="R64" s="772"/>
      <c r="S64" s="772"/>
      <c r="T64" s="772"/>
      <c r="U64" s="772"/>
      <c r="V64" s="772"/>
      <c r="W64" s="772"/>
      <c r="X64" s="772"/>
      <c r="Y64" s="772"/>
      <c r="Z64" s="773"/>
    </row>
    <row r="65" spans="2:26" ht="23.1" customHeight="1">
      <c r="B65" s="80"/>
      <c r="C65" s="19" t="s">
        <v>1100</v>
      </c>
      <c r="D65" s="1063"/>
      <c r="E65" s="1063"/>
      <c r="F65" s="1063"/>
      <c r="G65" s="1063"/>
      <c r="H65" s="1063"/>
      <c r="I65" s="1063"/>
      <c r="J65" s="1063"/>
      <c r="K65" s="72"/>
      <c r="M65" s="771"/>
      <c r="N65" s="772"/>
      <c r="O65" s="772"/>
      <c r="P65" s="772"/>
      <c r="Q65" s="772"/>
      <c r="R65" s="772"/>
      <c r="S65" s="772"/>
      <c r="T65" s="772"/>
      <c r="U65" s="772"/>
      <c r="V65" s="772"/>
      <c r="W65" s="772"/>
      <c r="X65" s="772"/>
      <c r="Y65" s="772"/>
      <c r="Z65" s="773"/>
    </row>
    <row r="66" spans="2:26" ht="23.1" customHeight="1" thickBot="1">
      <c r="B66" s="83"/>
      <c r="C66" s="33"/>
      <c r="D66" s="1228"/>
      <c r="E66" s="1228"/>
      <c r="F66" s="33"/>
      <c r="G66" s="33"/>
      <c r="H66" s="33"/>
      <c r="I66" s="33"/>
      <c r="J66" s="84"/>
      <c r="K66" s="85"/>
      <c r="M66" s="776"/>
      <c r="N66" s="777"/>
      <c r="O66" s="777"/>
      <c r="P66" s="777"/>
      <c r="Q66" s="777"/>
      <c r="R66" s="777"/>
      <c r="S66" s="777"/>
      <c r="T66" s="777"/>
      <c r="U66" s="777"/>
      <c r="V66" s="777"/>
      <c r="W66" s="777"/>
      <c r="X66" s="777"/>
      <c r="Y66" s="777"/>
      <c r="Z66" s="778"/>
    </row>
    <row r="67" spans="2:26" ht="23.1" customHeight="1">
      <c r="L67" s="65" t="s">
        <v>248</v>
      </c>
    </row>
    <row r="68" spans="2:26" ht="12.75">
      <c r="D68" s="86" t="s">
        <v>98</v>
      </c>
      <c r="J68" s="63" t="s">
        <v>1101</v>
      </c>
    </row>
    <row r="69" spans="2:26" ht="12.75">
      <c r="D69" s="86" t="s">
        <v>100</v>
      </c>
    </row>
    <row r="70" spans="2:26" ht="12.75">
      <c r="D70" s="86" t="s">
        <v>101</v>
      </c>
    </row>
    <row r="71" spans="2:26" ht="12.75">
      <c r="D71" s="86" t="s">
        <v>102</v>
      </c>
    </row>
    <row r="72" spans="2:26" ht="12.75">
      <c r="D72" s="86" t="s">
        <v>103</v>
      </c>
    </row>
  </sheetData>
  <sheetProtection sheet="1" objects="1" scenarios="1"/>
  <mergeCells count="10">
    <mergeCell ref="J6:J7"/>
    <mergeCell ref="C12:D12"/>
    <mergeCell ref="C45:D45"/>
    <mergeCell ref="D66:E66"/>
    <mergeCell ref="E9:J9"/>
    <mergeCell ref="C37:D37"/>
    <mergeCell ref="C38:D38"/>
    <mergeCell ref="F36:J36"/>
    <mergeCell ref="C50:E50"/>
    <mergeCell ref="C53:D53"/>
  </mergeCells>
  <phoneticPr fontId="5" type="noConversion"/>
  <printOptions horizontalCentered="1" verticalCentered="1"/>
  <pageMargins left="0.35629921259842523" right="0.35629921259842523" top="0.60629921259842523" bottom="0.60629921259842523" header="0.5" footer="0.5"/>
  <pageSetup paperSize="9" scale="52" orientation="portrait" horizontalDpi="4294967292" verticalDpi="4294967292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3A7CCD2-F97B-4DEF-AAEA-9BD2AC9699C6}">
  <sheetPr codeName="Hoja2">
    <pageSetUpPr fitToPage="1"/>
  </sheetPr>
  <dimension ref="A2:W143"/>
  <sheetViews>
    <sheetView topLeftCell="D79" zoomScale="70" zoomScaleNormal="70" workbookViewId="0">
      <selection activeCell="K69" sqref="K69"/>
    </sheetView>
  </sheetViews>
  <sheetFormatPr baseColWidth="10" defaultColWidth="10.6640625" defaultRowHeight="23.1" customHeight="1"/>
  <cols>
    <col min="1" max="1" width="3" style="185" customWidth="1"/>
    <col min="2" max="2" width="3.109375" style="185" customWidth="1"/>
    <col min="3" max="3" width="12.109375" style="185" customWidth="1"/>
    <col min="4" max="4" width="75" style="185" customWidth="1"/>
    <col min="5" max="6" width="42.44140625" style="185" customWidth="1"/>
    <col min="7" max="8" width="39.33203125" style="185" customWidth="1"/>
    <col min="9" max="9" width="3.5546875" style="185" customWidth="1"/>
    <col min="10" max="10" width="10.6640625" style="185"/>
    <col min="11" max="17" width="11.33203125" style="185" customWidth="1"/>
    <col min="18" max="16384" width="10.6640625" style="185"/>
  </cols>
  <sheetData>
    <row r="2" spans="1:23" ht="23.1" customHeight="1">
      <c r="A2" s="412"/>
      <c r="B2" s="412"/>
      <c r="C2" s="412"/>
      <c r="D2" s="391" t="str">
        <f>_GENERAL!D2</f>
        <v>Área de la Presidenta: Igualdad y Diversidad, Hacienda y Proyectos Estratégicos</v>
      </c>
      <c r="E2" s="412"/>
      <c r="F2" s="412"/>
      <c r="G2" s="412"/>
      <c r="H2" s="412"/>
      <c r="I2" s="412"/>
      <c r="J2" s="412"/>
      <c r="K2" s="412"/>
      <c r="L2" s="412"/>
      <c r="M2" s="412"/>
      <c r="N2" s="412"/>
      <c r="O2" s="412"/>
      <c r="P2" s="412"/>
      <c r="Q2" s="412"/>
      <c r="R2" s="412"/>
      <c r="S2" s="412"/>
      <c r="T2" s="412"/>
      <c r="U2" s="412"/>
      <c r="V2" s="412"/>
      <c r="W2" s="412"/>
    </row>
    <row r="3" spans="1:23" ht="23.1" customHeight="1">
      <c r="A3" s="412"/>
      <c r="B3" s="412"/>
      <c r="C3" s="412"/>
      <c r="D3" s="391" t="str">
        <f>_GENERAL!D3</f>
        <v>Dirección Insular de Hacienda</v>
      </c>
      <c r="E3" s="412"/>
      <c r="F3" s="412"/>
      <c r="G3" s="412"/>
      <c r="H3" s="412"/>
      <c r="I3" s="412"/>
      <c r="J3" s="412"/>
      <c r="K3" s="412"/>
      <c r="L3" s="412"/>
      <c r="M3" s="412"/>
      <c r="N3" s="412"/>
      <c r="O3" s="412"/>
      <c r="P3" s="412"/>
      <c r="Q3" s="412"/>
      <c r="R3" s="412"/>
      <c r="S3" s="412"/>
      <c r="T3" s="412"/>
      <c r="U3" s="412"/>
      <c r="V3" s="412"/>
      <c r="W3" s="412"/>
    </row>
    <row r="4" spans="1:23" ht="23.1" customHeight="1" thickBot="1">
      <c r="A4" s="412"/>
      <c r="B4" s="412"/>
      <c r="C4" s="412"/>
      <c r="D4" s="412"/>
      <c r="E4" s="412"/>
      <c r="F4" s="412"/>
      <c r="G4" s="412"/>
      <c r="H4" s="412"/>
      <c r="I4" s="412"/>
      <c r="J4" s="412"/>
      <c r="K4" s="412"/>
      <c r="L4" s="412"/>
      <c r="M4" s="412"/>
      <c r="N4" s="412"/>
      <c r="O4" s="412"/>
      <c r="P4" s="412"/>
      <c r="Q4" s="412"/>
      <c r="R4" s="412"/>
      <c r="S4" s="412"/>
      <c r="T4" s="412"/>
      <c r="U4" s="412"/>
      <c r="V4" s="412"/>
      <c r="W4" s="412"/>
    </row>
    <row r="5" spans="1:23" ht="9" customHeight="1">
      <c r="A5" s="412"/>
      <c r="B5" s="376" t="s">
        <v>104</v>
      </c>
      <c r="C5" s="872"/>
      <c r="D5" s="872"/>
      <c r="E5" s="872"/>
      <c r="F5" s="872"/>
      <c r="G5" s="872"/>
      <c r="H5" s="872"/>
      <c r="I5" s="873"/>
      <c r="J5" s="412"/>
      <c r="K5" s="412"/>
      <c r="L5" s="412"/>
      <c r="M5" s="412"/>
      <c r="N5" s="412"/>
      <c r="O5" s="412"/>
      <c r="P5" s="412"/>
      <c r="Q5" s="412"/>
      <c r="R5" s="412"/>
      <c r="S5" s="412"/>
      <c r="T5" s="412"/>
      <c r="U5" s="412"/>
      <c r="V5" s="412"/>
      <c r="W5" s="412"/>
    </row>
    <row r="6" spans="1:23" ht="30" customHeight="1">
      <c r="A6" s="412"/>
      <c r="B6" s="874"/>
      <c r="C6" s="1" t="s">
        <v>2</v>
      </c>
      <c r="D6" s="9"/>
      <c r="E6" s="9"/>
      <c r="F6" s="9"/>
      <c r="G6" s="412"/>
      <c r="H6" s="1212">
        <f>ejercicio</f>
        <v>2025</v>
      </c>
      <c r="I6" s="875"/>
      <c r="J6" s="412"/>
      <c r="K6" s="412"/>
      <c r="L6" s="412"/>
      <c r="M6" s="412"/>
      <c r="N6" s="412"/>
      <c r="O6" s="412"/>
      <c r="P6" s="412"/>
      <c r="Q6" s="412"/>
      <c r="R6" s="412"/>
      <c r="S6" s="412"/>
      <c r="T6" s="412"/>
      <c r="U6" s="412"/>
      <c r="V6" s="412"/>
      <c r="W6" s="412"/>
    </row>
    <row r="7" spans="1:23" ht="30" customHeight="1">
      <c r="A7" s="412"/>
      <c r="B7" s="874"/>
      <c r="C7" s="1" t="s">
        <v>3</v>
      </c>
      <c r="D7" s="412"/>
      <c r="E7" s="412"/>
      <c r="F7" s="412"/>
      <c r="G7" s="412"/>
      <c r="H7" s="1212">
        <v>2018</v>
      </c>
      <c r="I7" s="875"/>
      <c r="J7" s="412"/>
      <c r="K7" s="1"/>
      <c r="L7" s="1"/>
      <c r="M7" s="1"/>
      <c r="N7" s="1"/>
      <c r="O7" s="1"/>
      <c r="P7" s="1"/>
      <c r="Q7" s="1"/>
      <c r="R7" s="1"/>
      <c r="S7" s="1"/>
      <c r="T7" s="1"/>
      <c r="U7" s="1"/>
      <c r="V7" s="1"/>
      <c r="W7" s="1"/>
    </row>
    <row r="8" spans="1:23" ht="30" customHeight="1">
      <c r="A8" s="412"/>
      <c r="B8" s="874"/>
      <c r="C8" s="412"/>
      <c r="D8" s="412"/>
      <c r="E8" s="412"/>
      <c r="F8" s="412"/>
      <c r="G8" s="412"/>
      <c r="H8" s="7"/>
      <c r="I8" s="875"/>
      <c r="J8" s="412"/>
      <c r="K8" s="412"/>
      <c r="L8" s="412"/>
      <c r="M8" s="412"/>
      <c r="N8" s="412"/>
      <c r="O8" s="412"/>
      <c r="P8" s="412"/>
      <c r="Q8" s="412"/>
      <c r="R8" s="412"/>
      <c r="S8" s="412"/>
      <c r="T8" s="412"/>
      <c r="U8" s="412"/>
      <c r="V8" s="412"/>
      <c r="W8" s="412"/>
    </row>
    <row r="9" spans="1:23" ht="30" customHeight="1">
      <c r="A9" s="412"/>
      <c r="B9" s="874"/>
      <c r="C9" s="20" t="s">
        <v>105</v>
      </c>
      <c r="D9" s="1220" t="str">
        <f>Entidad</f>
        <v>(MERCATENERIFE) Mercados Centrales de Abastecimiento de Tenerife, S.A.</v>
      </c>
      <c r="E9" s="1220"/>
      <c r="F9" s="1220"/>
      <c r="G9" s="1220"/>
      <c r="H9" s="1220"/>
      <c r="I9" s="875"/>
      <c r="J9" s="412"/>
      <c r="K9" s="412"/>
      <c r="L9" s="412"/>
      <c r="M9" s="412"/>
      <c r="N9" s="412"/>
      <c r="O9" s="412"/>
      <c r="P9" s="412"/>
      <c r="Q9" s="412"/>
      <c r="R9" s="412"/>
      <c r="S9" s="412"/>
      <c r="T9" s="412"/>
      <c r="U9" s="412"/>
      <c r="V9" s="412"/>
      <c r="W9" s="412"/>
    </row>
    <row r="10" spans="1:23" ht="6.95" customHeight="1">
      <c r="A10" s="412"/>
      <c r="B10" s="874"/>
      <c r="C10" s="412"/>
      <c r="D10" s="412"/>
      <c r="E10" s="412"/>
      <c r="F10" s="412"/>
      <c r="G10" s="412"/>
      <c r="H10" s="876"/>
      <c r="I10" s="875"/>
      <c r="J10" s="412"/>
      <c r="K10" s="412"/>
      <c r="L10" s="412"/>
      <c r="M10" s="412"/>
      <c r="N10" s="412"/>
      <c r="O10" s="412"/>
      <c r="P10" s="412"/>
      <c r="Q10" s="412"/>
      <c r="R10" s="412"/>
      <c r="S10" s="412"/>
      <c r="T10" s="412"/>
      <c r="U10" s="412"/>
      <c r="V10" s="412"/>
      <c r="W10" s="412"/>
    </row>
    <row r="11" spans="1:23" s="1" customFormat="1" ht="30" customHeight="1">
      <c r="B11" s="10"/>
      <c r="C11" s="374" t="s">
        <v>106</v>
      </c>
      <c r="D11" s="375"/>
      <c r="E11" s="375"/>
      <c r="F11" s="375"/>
      <c r="G11" s="375"/>
      <c r="H11" s="375"/>
      <c r="I11" s="11"/>
      <c r="K11" s="412"/>
      <c r="L11" s="412"/>
      <c r="M11" s="412"/>
      <c r="N11" s="412"/>
      <c r="O11" s="412"/>
      <c r="P11" s="412"/>
      <c r="Q11" s="412"/>
      <c r="R11" s="412"/>
      <c r="S11" s="412"/>
      <c r="T11" s="412"/>
      <c r="U11" s="412"/>
      <c r="V11" s="412"/>
      <c r="W11" s="412"/>
    </row>
    <row r="12" spans="1:23" ht="23.1" customHeight="1">
      <c r="A12" s="412"/>
      <c r="B12" s="874"/>
      <c r="C12" s="412"/>
      <c r="D12" s="412"/>
      <c r="E12" s="412"/>
      <c r="F12" s="412"/>
      <c r="G12" s="412"/>
      <c r="H12" s="412"/>
      <c r="I12" s="875"/>
      <c r="J12" s="412"/>
      <c r="K12" s="412"/>
      <c r="L12" s="412"/>
      <c r="M12" s="412"/>
      <c r="N12" s="412"/>
      <c r="O12" s="412"/>
      <c r="P12" s="412"/>
      <c r="Q12" s="412"/>
      <c r="R12" s="412"/>
      <c r="S12" s="412"/>
      <c r="T12" s="412"/>
      <c r="U12" s="412"/>
      <c r="V12" s="412"/>
      <c r="W12" s="412"/>
    </row>
    <row r="13" spans="1:23" ht="23.1" customHeight="1">
      <c r="A13" s="412"/>
      <c r="B13" s="874"/>
      <c r="C13" s="412"/>
      <c r="D13" s="412"/>
      <c r="E13" s="371" t="s">
        <v>107</v>
      </c>
      <c r="F13" s="371" t="s">
        <v>108</v>
      </c>
      <c r="G13" s="371" t="s">
        <v>109</v>
      </c>
      <c r="H13" s="371" t="s">
        <v>110</v>
      </c>
      <c r="I13" s="875"/>
      <c r="J13" s="412"/>
      <c r="K13" s="412"/>
      <c r="L13" s="412"/>
      <c r="M13" s="412"/>
      <c r="N13" s="412"/>
      <c r="O13" s="412"/>
      <c r="P13" s="412"/>
      <c r="Q13" s="412"/>
      <c r="R13" s="412"/>
      <c r="S13" s="412"/>
      <c r="T13" s="412"/>
      <c r="U13" s="412"/>
      <c r="V13" s="412"/>
      <c r="W13" s="412"/>
    </row>
    <row r="14" spans="1:23" ht="23.1" customHeight="1">
      <c r="A14" s="412"/>
      <c r="B14" s="874"/>
      <c r="C14" s="412"/>
      <c r="D14" s="412"/>
      <c r="E14" s="372">
        <f>ejercicio-2</f>
        <v>2023</v>
      </c>
      <c r="F14" s="372">
        <f>ejercicio-1</f>
        <v>2024</v>
      </c>
      <c r="G14" s="372">
        <f>ejercicio-1</f>
        <v>2024</v>
      </c>
      <c r="H14" s="372">
        <f>ejercicio</f>
        <v>2025</v>
      </c>
      <c r="I14" s="875"/>
      <c r="J14" s="412"/>
      <c r="K14" s="412"/>
      <c r="L14" s="412"/>
      <c r="M14" s="412"/>
      <c r="N14" s="412"/>
      <c r="O14" s="412"/>
      <c r="P14" s="412"/>
      <c r="Q14" s="412"/>
      <c r="R14" s="412"/>
      <c r="S14" s="412"/>
      <c r="T14" s="412"/>
      <c r="U14" s="412"/>
      <c r="V14" s="412"/>
      <c r="W14" s="412"/>
    </row>
    <row r="15" spans="1:23" s="1" customFormat="1" ht="32.1" customHeight="1" thickBot="1">
      <c r="B15" s="818"/>
      <c r="C15" s="819" t="s">
        <v>111</v>
      </c>
      <c r="D15" s="819"/>
      <c r="E15" s="820"/>
      <c r="F15" s="820"/>
      <c r="G15" s="820"/>
      <c r="H15" s="820"/>
      <c r="I15" s="11"/>
    </row>
    <row r="16" spans="1:23" s="1" customFormat="1" ht="26.1" customHeight="1">
      <c r="B16" s="818"/>
      <c r="C16" s="708" t="s">
        <v>112</v>
      </c>
      <c r="D16" s="708"/>
      <c r="E16" s="858"/>
      <c r="F16" s="858"/>
      <c r="G16" s="858"/>
      <c r="H16" s="882" t="str">
        <f>IF(Entidad="","Selecciona el nombre de la EE.DD. en GENERAL","Ok")</f>
        <v>Ok</v>
      </c>
      <c r="I16" s="11"/>
    </row>
    <row r="17" spans="1:23" ht="30" customHeight="1">
      <c r="A17" s="412"/>
      <c r="B17" s="818"/>
      <c r="C17" s="708" t="s">
        <v>113</v>
      </c>
      <c r="D17" s="708"/>
      <c r="E17" s="858"/>
      <c r="F17" s="858"/>
      <c r="G17" s="858"/>
      <c r="H17" s="882" t="str">
        <f>IF(_GENERAL!D14="","Selecciona el modelo de CC.AA. de la EE.DD. en GENERAL","Ok")</f>
        <v>Ok</v>
      </c>
      <c r="I17" s="11"/>
      <c r="J17" s="412"/>
      <c r="K17" s="412"/>
      <c r="L17" s="412"/>
      <c r="M17" s="412"/>
      <c r="N17" s="412"/>
      <c r="O17" s="412"/>
      <c r="P17" s="412"/>
      <c r="Q17" s="412"/>
      <c r="R17" s="412"/>
      <c r="S17" s="412"/>
      <c r="T17" s="412"/>
      <c r="U17" s="412"/>
      <c r="V17" s="412"/>
      <c r="W17" s="412"/>
    </row>
    <row r="18" spans="1:23" ht="30" customHeight="1">
      <c r="A18" s="412"/>
      <c r="B18" s="874"/>
      <c r="C18" s="708" t="s">
        <v>114</v>
      </c>
      <c r="D18" s="708"/>
      <c r="E18" s="394"/>
      <c r="F18" s="394"/>
      <c r="G18" s="394"/>
      <c r="H18" s="882" t="str">
        <f>IF('FC-1_ORGANOS_GOBIERNO'!Z38&gt;=1,"Mal, revisa datos en FC-1","Ok")</f>
        <v>Ok</v>
      </c>
      <c r="I18" s="875"/>
      <c r="J18" s="412"/>
      <c r="K18" s="412"/>
      <c r="L18" s="412"/>
      <c r="M18" s="412"/>
      <c r="N18" s="412"/>
      <c r="O18" s="412"/>
      <c r="P18" s="412"/>
      <c r="Q18" s="412"/>
      <c r="R18" s="412"/>
      <c r="S18" s="412"/>
      <c r="T18" s="412"/>
      <c r="U18" s="412"/>
      <c r="V18" s="412"/>
      <c r="W18" s="412"/>
    </row>
    <row r="19" spans="1:23" ht="30" customHeight="1">
      <c r="A19" s="412"/>
      <c r="B19" s="874"/>
      <c r="C19" s="708" t="s">
        <v>115</v>
      </c>
      <c r="D19" s="708"/>
      <c r="E19" s="394"/>
      <c r="F19" s="394"/>
      <c r="G19" s="394"/>
      <c r="H19" s="882" t="str">
        <f>IF('FC-1_ORGANOS_GOBIERNO'!AD40&gt;=1,"Mal, revisa datos en FC-1","Ok")</f>
        <v>Ok</v>
      </c>
      <c r="I19" s="875"/>
      <c r="J19" s="412"/>
      <c r="K19" s="412"/>
      <c r="L19" s="412"/>
      <c r="M19" s="412"/>
      <c r="N19" s="412"/>
      <c r="O19" s="412"/>
      <c r="P19" s="412"/>
      <c r="Q19" s="412"/>
      <c r="R19" s="412"/>
      <c r="S19" s="412"/>
      <c r="T19" s="412"/>
      <c r="U19" s="412"/>
      <c r="V19" s="412"/>
      <c r="W19" s="412"/>
    </row>
    <row r="20" spans="1:23" ht="30" customHeight="1">
      <c r="A20" s="412"/>
      <c r="B20" s="874"/>
      <c r="C20" s="708" t="s">
        <v>116</v>
      </c>
      <c r="D20" s="708"/>
      <c r="E20" s="394"/>
      <c r="F20" s="394"/>
      <c r="G20" s="394"/>
      <c r="H20" s="882" t="str">
        <f>IF('FC-1_ORGANOS_GOBIERNO'!AD41&gt;=1,"Mal, revisa datos en FC-1","Ok")</f>
        <v>Ok</v>
      </c>
      <c r="I20" s="875"/>
      <c r="J20" s="412"/>
      <c r="K20" s="412"/>
      <c r="L20" s="412"/>
      <c r="M20" s="412"/>
      <c r="N20" s="412"/>
      <c r="O20" s="412"/>
      <c r="P20" s="412"/>
      <c r="Q20" s="412"/>
      <c r="R20" s="412"/>
      <c r="S20" s="412"/>
      <c r="T20" s="412"/>
      <c r="U20" s="412"/>
      <c r="V20" s="412"/>
      <c r="W20" s="412"/>
    </row>
    <row r="21" spans="1:23" ht="30" customHeight="1">
      <c r="A21" s="412"/>
      <c r="B21" s="874"/>
      <c r="C21" s="708" t="s">
        <v>117</v>
      </c>
      <c r="D21" s="708"/>
      <c r="E21" s="394"/>
      <c r="F21" s="394"/>
      <c r="G21" s="394"/>
      <c r="H21" s="882" t="str">
        <f>IF('FC-1_ORGANOS_GOBIERNO'!AG22&gt;=1,"Mal, revisa datos en FC-1","Ok")</f>
        <v>Ok</v>
      </c>
      <c r="I21" s="875"/>
      <c r="J21" s="412"/>
      <c r="K21" s="412"/>
      <c r="L21" s="412"/>
      <c r="M21" s="412"/>
      <c r="N21" s="412"/>
      <c r="O21" s="412"/>
      <c r="P21" s="412"/>
      <c r="Q21" s="412"/>
      <c r="R21" s="412"/>
      <c r="S21" s="412"/>
      <c r="T21" s="412"/>
      <c r="U21" s="412"/>
      <c r="V21" s="412"/>
      <c r="W21" s="412"/>
    </row>
    <row r="22" spans="1:23" ht="30" customHeight="1" thickBot="1">
      <c r="A22" s="412"/>
      <c r="B22" s="874"/>
      <c r="C22" s="819" t="s">
        <v>118</v>
      </c>
      <c r="D22" s="819"/>
      <c r="E22" s="820"/>
      <c r="F22" s="820"/>
      <c r="G22" s="820"/>
      <c r="H22" s="820"/>
      <c r="I22" s="875"/>
      <c r="J22" s="412"/>
      <c r="K22" s="391"/>
      <c r="L22" s="373">
        <f>IF(G37="Ok",0,1)</f>
        <v>0</v>
      </c>
      <c r="M22" s="373">
        <f>IF(H37="Ok",0,1)</f>
        <v>0</v>
      </c>
      <c r="N22" s="373">
        <f>SUM(K22:M22)</f>
        <v>0</v>
      </c>
      <c r="O22" s="391"/>
      <c r="P22" s="391"/>
      <c r="Q22" s="391"/>
      <c r="R22" s="391"/>
      <c r="S22" s="391"/>
      <c r="T22" s="391"/>
      <c r="U22" s="391"/>
      <c r="V22" s="391"/>
      <c r="W22" s="391"/>
    </row>
    <row r="23" spans="1:23" ht="30" customHeight="1">
      <c r="A23" s="412"/>
      <c r="B23" s="874"/>
      <c r="C23" s="708" t="s">
        <v>119</v>
      </c>
      <c r="D23" s="708"/>
      <c r="E23" s="858"/>
      <c r="F23" s="858"/>
      <c r="G23" s="858"/>
      <c r="H23" s="882" t="str">
        <f>IF('FC-2_ACCIONISTAS'!AG17=1,"Mal, revisa datos de accionista en FC-2","Ok")</f>
        <v>Ok</v>
      </c>
      <c r="I23" s="875"/>
      <c r="J23" s="412"/>
      <c r="K23" s="391"/>
      <c r="L23" s="373">
        <f>IF(G28="Ok",0,1)</f>
        <v>0</v>
      </c>
      <c r="M23" s="373">
        <f>IF(H28="Ok",0,1)</f>
        <v>0</v>
      </c>
      <c r="N23" s="373">
        <f>SUM(K23:M23)</f>
        <v>0</v>
      </c>
      <c r="O23" s="391"/>
      <c r="P23" s="391"/>
      <c r="Q23" s="391"/>
      <c r="R23" s="391"/>
      <c r="S23" s="391"/>
      <c r="T23" s="391"/>
      <c r="U23" s="391"/>
      <c r="V23" s="391"/>
      <c r="W23" s="391"/>
    </row>
    <row r="24" spans="1:23" ht="30" customHeight="1">
      <c r="A24" s="412"/>
      <c r="B24" s="874"/>
      <c r="C24" s="708" t="s">
        <v>120</v>
      </c>
      <c r="D24" s="708"/>
      <c r="E24" s="394"/>
      <c r="F24" s="394"/>
      <c r="G24" s="394"/>
      <c r="H24" s="882" t="str">
        <f>IF(ROUND(SUM('FC-2_ACCIONISTAS'!F17:F38),2)=100%,"Ok","Revisa FC2, la suma del % accionistas no da 100%")</f>
        <v>Ok</v>
      </c>
      <c r="I24" s="875"/>
      <c r="J24" s="412"/>
      <c r="K24" s="391"/>
      <c r="L24" s="373">
        <f>IF(G50="Ok",0,1)</f>
        <v>1</v>
      </c>
      <c r="M24" s="373">
        <f>IF(H50="Ok",0,1)</f>
        <v>1</v>
      </c>
      <c r="N24" s="373">
        <f>SUM(K24:M24)</f>
        <v>2</v>
      </c>
      <c r="O24" s="391"/>
      <c r="P24" s="391"/>
      <c r="Q24" s="391"/>
      <c r="R24" s="391"/>
      <c r="S24" s="391"/>
      <c r="T24" s="391"/>
      <c r="U24" s="391"/>
      <c r="V24" s="391"/>
      <c r="W24" s="391"/>
    </row>
    <row r="25" spans="1:23" ht="30" customHeight="1">
      <c r="A25" s="412"/>
      <c r="B25" s="874"/>
      <c r="C25" s="393" t="s">
        <v>121</v>
      </c>
      <c r="D25" s="393"/>
      <c r="E25" s="394"/>
      <c r="F25" s="394"/>
      <c r="G25" s="394"/>
      <c r="H25" s="882" t="str">
        <f>IF('FC-2_ACCIONISTAS'!AG58=1,"Mal, revisa datos del auditor en FC-2","Ok")</f>
        <v>Ok</v>
      </c>
      <c r="I25" s="875"/>
      <c r="J25" s="412"/>
      <c r="K25" s="391"/>
      <c r="L25" s="373"/>
      <c r="M25" s="373"/>
      <c r="N25" s="373"/>
      <c r="O25" s="391"/>
      <c r="P25" s="391"/>
      <c r="Q25" s="391"/>
      <c r="R25" s="391"/>
      <c r="S25" s="391"/>
      <c r="T25" s="391"/>
      <c r="U25" s="391"/>
      <c r="V25" s="391"/>
      <c r="W25" s="391"/>
    </row>
    <row r="26" spans="1:23" ht="30" customHeight="1" thickBot="1">
      <c r="A26" s="412"/>
      <c r="B26" s="874"/>
      <c r="C26" s="819" t="s">
        <v>122</v>
      </c>
      <c r="D26" s="819"/>
      <c r="E26" s="820"/>
      <c r="F26" s="820"/>
      <c r="G26" s="820"/>
      <c r="H26" s="820"/>
      <c r="I26" s="875"/>
      <c r="J26" s="412"/>
      <c r="K26" s="391"/>
      <c r="L26" s="373">
        <f>IF(G29="Ok",0,1)</f>
        <v>1</v>
      </c>
      <c r="M26" s="373">
        <f>IF(H29="Ok",0,1)</f>
        <v>0</v>
      </c>
      <c r="N26" s="373">
        <f>SUM(K26:M26)</f>
        <v>1</v>
      </c>
      <c r="O26" s="391"/>
      <c r="P26" s="391"/>
      <c r="Q26" s="391"/>
      <c r="R26" s="391"/>
      <c r="S26" s="391"/>
      <c r="T26" s="391"/>
      <c r="U26" s="391"/>
      <c r="V26" s="391"/>
      <c r="W26" s="391"/>
    </row>
    <row r="27" spans="1:23" s="199" customFormat="1" ht="30" customHeight="1">
      <c r="A27" s="391"/>
      <c r="B27" s="874"/>
      <c r="C27" s="393" t="s">
        <v>123</v>
      </c>
      <c r="D27" s="393"/>
      <c r="E27" s="394"/>
      <c r="F27" s="394"/>
      <c r="G27" s="394"/>
      <c r="H27" s="882" t="str">
        <f>IF(ROUND('FC-9_TRANS_SUBV'!J91,2)&gt;=-ROUND('FC-3_CPyG'!H101,2),"Ok","Revisa, Aport. Genérica &lt; Pérdida")</f>
        <v>Ok</v>
      </c>
      <c r="I27" s="875"/>
      <c r="J27" s="391"/>
      <c r="K27" s="391"/>
      <c r="L27" s="373">
        <f>IF(G31="Ok",0,1)</f>
        <v>1</v>
      </c>
      <c r="M27" s="373">
        <f>IF(H31="Ok",0,1)</f>
        <v>0</v>
      </c>
      <c r="N27" s="373">
        <f>SUM(K27:M27)</f>
        <v>1</v>
      </c>
      <c r="O27" s="391"/>
      <c r="P27" s="391"/>
      <c r="Q27" s="391"/>
      <c r="R27" s="391"/>
      <c r="S27" s="391"/>
      <c r="T27" s="391"/>
      <c r="U27" s="391"/>
      <c r="V27" s="391"/>
      <c r="W27" s="391"/>
    </row>
    <row r="28" spans="1:23" s="199" customFormat="1" ht="30" customHeight="1">
      <c r="A28" s="391"/>
      <c r="B28" s="392"/>
      <c r="C28" s="393" t="s">
        <v>124</v>
      </c>
      <c r="D28" s="393"/>
      <c r="E28" s="882" t="str">
        <f>IF(ROUND(('FC-3_CPyG'!E101-'FC-4_PASIVO'!E32),2)=0,"Ok","Mal, revisa FC-3 y FC-4")</f>
        <v>Ok</v>
      </c>
      <c r="F28" s="882" t="str">
        <f>IF(ROUND(('FC-3_CPyG'!F101-'FC-4_PASIVO'!F32),2)=0,"Ok","Mal, revisa FC-3 y FC-4")</f>
        <v>Ok</v>
      </c>
      <c r="G28" s="882" t="str">
        <f>IF(ROUND(('FC-3_CPyG'!G101-'FC-4_PASIVO'!G32),2)=0,"Ok","Mal, revisa FC-3 y FC-4")</f>
        <v>Ok</v>
      </c>
      <c r="H28" s="882" t="str">
        <f>IF(ROUND(('FC-3_CPyG'!H101-'FC-4_PASIVO'!H32),2)=0,"Ok","Mal, revisa FC-3 y FC-4")</f>
        <v>Ok</v>
      </c>
      <c r="I28" s="395"/>
      <c r="J28" s="391"/>
      <c r="K28" s="373"/>
      <c r="L28" s="373"/>
      <c r="M28" s="373">
        <f>IF(H33="Ok",0,1)</f>
        <v>0</v>
      </c>
      <c r="N28" s="373">
        <f>SUM(K28:M28)</f>
        <v>0</v>
      </c>
      <c r="O28" s="391"/>
      <c r="P28" s="391"/>
      <c r="Q28" s="391"/>
      <c r="R28" s="391"/>
      <c r="S28" s="391"/>
      <c r="T28" s="391"/>
      <c r="U28" s="391"/>
      <c r="V28" s="391"/>
      <c r="W28" s="391"/>
    </row>
    <row r="29" spans="1:23" s="199" customFormat="1" ht="30" customHeight="1">
      <c r="A29" s="391"/>
      <c r="B29" s="392"/>
      <c r="C29" s="393" t="s">
        <v>125</v>
      </c>
      <c r="D29" s="393"/>
      <c r="E29" s="394"/>
      <c r="F29" s="394"/>
      <c r="G29" s="394"/>
      <c r="H29" s="882" t="str">
        <f>IF(ROUND('FC-3_CPyG'!H16-'FC-3_1_INF_ADIC_CPyG'!E43,2)=0,"Ok","Mal, revisa datos en FC-3 PyG y FC3.1")</f>
        <v>Ok</v>
      </c>
      <c r="I29" s="395"/>
      <c r="J29" s="391"/>
      <c r="K29" s="391"/>
      <c r="L29" s="373"/>
      <c r="M29" s="373"/>
      <c r="N29" s="373"/>
      <c r="O29" s="391"/>
      <c r="P29" s="391"/>
      <c r="Q29" s="391"/>
      <c r="R29" s="391"/>
      <c r="S29" s="391"/>
      <c r="T29" s="391"/>
      <c r="U29" s="391"/>
      <c r="V29" s="391"/>
      <c r="W29" s="391"/>
    </row>
    <row r="30" spans="1:23" s="199" customFormat="1" ht="30" customHeight="1">
      <c r="A30" s="391"/>
      <c r="B30" s="392"/>
      <c r="C30" s="393" t="s">
        <v>126</v>
      </c>
      <c r="D30" s="393"/>
      <c r="E30" s="394"/>
      <c r="F30" s="394"/>
      <c r="G30" s="394"/>
      <c r="H30" s="882" t="str">
        <f>IF(ROUND('FC-3_CPyG'!H63-'FC-3_1_INF_ADIC_CPyG'!E47-'FC-3_1_INF_ADIC_CPyG'!E56,2)=0,"Ok","Mal, revisa datos en FC-3 CPYG y FC-3.1")</f>
        <v>Ok</v>
      </c>
      <c r="I30" s="395"/>
      <c r="J30" s="391"/>
      <c r="K30" s="391"/>
      <c r="L30" s="373"/>
      <c r="M30" s="373"/>
      <c r="N30" s="373"/>
      <c r="O30" s="391"/>
      <c r="P30" s="391"/>
      <c r="Q30" s="391"/>
      <c r="R30" s="391"/>
      <c r="S30" s="391"/>
      <c r="T30" s="391"/>
      <c r="U30" s="391"/>
      <c r="V30" s="391"/>
      <c r="W30" s="391"/>
    </row>
    <row r="31" spans="1:23" s="199" customFormat="1" ht="30" customHeight="1">
      <c r="A31" s="391"/>
      <c r="B31" s="392"/>
      <c r="C31" s="393" t="s">
        <v>127</v>
      </c>
      <c r="D31" s="393"/>
      <c r="E31" s="394"/>
      <c r="F31" s="394"/>
      <c r="G31" s="394"/>
      <c r="H31" s="882" t="str">
        <f>IF(ROUND('FC-3_CPyG'!H28-'FC-3_1_INF_ADIC_CPyG'!E73,2)=0,"Ok","Mal, revísa datos en FC-3 y FC-3.1")</f>
        <v>Ok</v>
      </c>
      <c r="I31" s="395"/>
      <c r="J31" s="391"/>
      <c r="K31" s="391"/>
      <c r="L31" s="373"/>
      <c r="M31" s="373"/>
      <c r="N31" s="373"/>
      <c r="O31" s="391"/>
      <c r="P31" s="391"/>
      <c r="Q31" s="391"/>
      <c r="R31" s="391"/>
      <c r="S31" s="391"/>
      <c r="T31" s="391"/>
      <c r="U31" s="391"/>
      <c r="V31" s="391"/>
      <c r="W31" s="391"/>
    </row>
    <row r="32" spans="1:23" s="199" customFormat="1" ht="30" customHeight="1">
      <c r="A32" s="391"/>
      <c r="B32" s="392"/>
      <c r="C32" s="393" t="s">
        <v>128</v>
      </c>
      <c r="D32" s="393"/>
      <c r="E32" s="394"/>
      <c r="F32" s="394"/>
      <c r="G32" s="394"/>
      <c r="H32" s="882" t="str">
        <f>IF(ROUND('FC-3_CPyG'!H29-'FC-3_1_INF_ADIC_CPyG'!E78,2)=0,"Ok","Mal, revisa datos en FC-3 CPyG y FC-3.1")</f>
        <v>Ok</v>
      </c>
      <c r="I32" s="395"/>
      <c r="J32" s="391"/>
      <c r="K32" s="391"/>
      <c r="L32" s="373"/>
      <c r="M32" s="373"/>
      <c r="N32" s="373"/>
      <c r="O32" s="391"/>
      <c r="P32" s="391"/>
      <c r="Q32" s="391"/>
      <c r="R32" s="391"/>
      <c r="S32" s="391"/>
      <c r="T32" s="391"/>
      <c r="U32" s="391"/>
      <c r="V32" s="391"/>
      <c r="W32" s="391"/>
    </row>
    <row r="33" spans="1:14" s="199" customFormat="1" ht="30" customHeight="1">
      <c r="A33" s="391"/>
      <c r="B33" s="392"/>
      <c r="C33" s="393" t="s">
        <v>129</v>
      </c>
      <c r="D33" s="393"/>
      <c r="E33" s="394"/>
      <c r="F33" s="394"/>
      <c r="G33" s="394"/>
      <c r="H33" s="882" t="str">
        <f>IF(ROUND(-'FC-3_CPyG'!H30+'FC-3_CPyG'!H33-'FC-13_PERSONAL'!F31,2)=0,"Ok","Mal, revísa dato en FC-3 CPyG y FC-13")</f>
        <v>Ok</v>
      </c>
      <c r="I33" s="395"/>
      <c r="J33" s="494"/>
      <c r="K33" s="494"/>
      <c r="L33" s="867"/>
      <c r="M33" s="373"/>
      <c r="N33" s="373"/>
    </row>
    <row r="34" spans="1:14" s="199" customFormat="1" ht="30" customHeight="1">
      <c r="A34" s="391"/>
      <c r="B34" s="392"/>
      <c r="C34" s="393" t="s">
        <v>130</v>
      </c>
      <c r="D34" s="393"/>
      <c r="E34" s="394"/>
      <c r="F34" s="394"/>
      <c r="G34" s="394"/>
      <c r="H34" s="882" t="str">
        <f>IF(ROUND('FC-3_CPyG'!H32+'FC-13_PERSONAL'!J45,2)=0,"Ok","Mal, revisa datos en FC-3 CPyG y FC-13")</f>
        <v>Ok</v>
      </c>
      <c r="I34" s="395"/>
      <c r="J34" s="494"/>
      <c r="K34" s="391"/>
      <c r="L34" s="373"/>
      <c r="M34" s="373"/>
      <c r="N34" s="373"/>
    </row>
    <row r="35" spans="1:14" s="199" customFormat="1" ht="30" customHeight="1">
      <c r="A35" s="391"/>
      <c r="B35" s="392"/>
      <c r="C35" s="393" t="s">
        <v>131</v>
      </c>
      <c r="D35" s="393"/>
      <c r="E35" s="394"/>
      <c r="F35" s="394"/>
      <c r="G35" s="394"/>
      <c r="H35" s="882" t="str">
        <f>IF(ROUND('FC-3_CPyG'!H34+'FC-13_PERSONAL'!F53,2)=0,"Ok","Mal, revisa datos en FC-3 CPyG y FC-13")</f>
        <v>Ok</v>
      </c>
      <c r="I35" s="395"/>
      <c r="J35" s="494"/>
      <c r="K35" s="391"/>
      <c r="L35" s="373"/>
      <c r="M35" s="373"/>
      <c r="N35" s="373"/>
    </row>
    <row r="36" spans="1:14" s="199" customFormat="1" ht="30" customHeight="1" thickBot="1">
      <c r="A36" s="391"/>
      <c r="B36" s="392"/>
      <c r="C36" s="819" t="s">
        <v>132</v>
      </c>
      <c r="D36" s="819"/>
      <c r="E36" s="820"/>
      <c r="F36" s="820"/>
      <c r="G36" s="820"/>
      <c r="H36" s="820"/>
      <c r="I36" s="395"/>
      <c r="J36" s="391"/>
      <c r="K36" s="391"/>
      <c r="L36" s="373"/>
      <c r="M36" s="373"/>
      <c r="N36" s="373"/>
    </row>
    <row r="37" spans="1:14" s="199" customFormat="1" ht="30" customHeight="1">
      <c r="A37" s="391"/>
      <c r="B37" s="392"/>
      <c r="C37" s="393" t="s">
        <v>133</v>
      </c>
      <c r="D37" s="393"/>
      <c r="E37" s="882" t="str">
        <f>IF(ROUND('FC-4_ACTIVO'!E96-'FC-4_PASIVO'!E94,2)=0,"Ok","Mal, revisa FC-4")</f>
        <v>Ok</v>
      </c>
      <c r="F37" s="882" t="str">
        <f>IF(ROUND('FC-4_ACTIVO'!F96-'FC-4_PASIVO'!F94,2)=0,"Ok","Mal, revisa FC-4")</f>
        <v>Ok</v>
      </c>
      <c r="G37" s="882" t="str">
        <f>IF(ROUND('FC-4_ACTIVO'!G96-'FC-4_PASIVO'!G94,2)=0,"Ok","Mal, revisa FC-4")</f>
        <v>Ok</v>
      </c>
      <c r="H37" s="882" t="str">
        <f>IF(ROUND('FC-4_ACTIVO'!H96-'FC-4_PASIVO'!H94,2)=0,"Ok","Mal, revisa FC-4")</f>
        <v>Ok</v>
      </c>
      <c r="I37" s="395"/>
      <c r="J37" s="391"/>
      <c r="K37" s="391"/>
      <c r="L37" s="373"/>
      <c r="M37" s="373"/>
      <c r="N37" s="373"/>
    </row>
    <row r="38" spans="1:14" s="199" customFormat="1" ht="30" customHeight="1">
      <c r="A38" s="391"/>
      <c r="B38" s="392"/>
      <c r="C38" s="393" t="s">
        <v>134</v>
      </c>
      <c r="D38" s="393"/>
      <c r="E38" s="882" t="str">
        <f>IF(('FC-4_PASIVO'!E16+'FC-4_PASIVO'!E43-'FC-4_ACTIVO'!E16)&lt;0,"El F.M. es negativo, se requiere análisis en memoria","Ok")</f>
        <v>Ok</v>
      </c>
      <c r="F38" s="882" t="str">
        <f>IF(('FC-4_PASIVO'!F16+'FC-4_PASIVO'!F43-'FC-4_ACTIVO'!F16)&lt;0,"El F.M. es negativo, se requiere análisis en memoria","Ok")</f>
        <v>Ok</v>
      </c>
      <c r="G38" s="882" t="str">
        <f>IF(('FC-4_PASIVO'!G16+'FC-4_PASIVO'!G43-'FC-4_ACTIVO'!G16)&lt;0,"El F.M. es negativo, se requiere análisis en memoria","Ok")</f>
        <v>Ok</v>
      </c>
      <c r="H38" s="882" t="str">
        <f>IF(('FC-4_PASIVO'!H16+'FC-4_PASIVO'!H43-'FC-4_ACTIVO'!H16)&lt;0,"El F.M. es negativo, se requiere análisis en memoria","Ok")</f>
        <v>Ok</v>
      </c>
      <c r="I38" s="395"/>
      <c r="J38" s="391"/>
      <c r="K38" s="391"/>
      <c r="L38" s="373"/>
      <c r="M38" s="373"/>
      <c r="N38" s="373"/>
    </row>
    <row r="39" spans="1:14" s="199" customFormat="1" ht="30" customHeight="1">
      <c r="A39" s="391"/>
      <c r="B39" s="392"/>
      <c r="C39" s="393" t="s">
        <v>135</v>
      </c>
      <c r="D39" s="393"/>
      <c r="E39" s="394"/>
      <c r="F39" s="394"/>
      <c r="G39" s="882" t="str">
        <f>IF(ROUND('FC-4_PASIVO'!G18-'FC-4_1_MOV_FP'!L17,2)=0,"Ok","Mal, revisa FC-4 y FC-4.1 MOV. F.P.")</f>
        <v>Ok</v>
      </c>
      <c r="H39" s="882" t="str">
        <f>IF(ROUND('FC-4_PASIVO'!H18-'FC-4_1_MOV_FP'!L44,2)=0,"Ok","Mal, revisa FC-4 y FC-4.1 MOV. F.P.")</f>
        <v>Ok</v>
      </c>
      <c r="I39" s="395"/>
      <c r="J39" s="391"/>
      <c r="K39" s="391"/>
      <c r="L39" s="373"/>
      <c r="M39" s="373"/>
      <c r="N39" s="373"/>
    </row>
    <row r="40" spans="1:14" s="199" customFormat="1" ht="30" customHeight="1">
      <c r="A40" s="391"/>
      <c r="B40" s="392"/>
      <c r="C40" s="393" t="s">
        <v>136</v>
      </c>
      <c r="D40" s="393"/>
      <c r="E40" s="394"/>
      <c r="F40" s="394"/>
      <c r="G40" s="882" t="str">
        <f>IF(ROUND('FC-4_PASIVO'!G21-'FC-4_1_MOV_FP'!L20,2)=0,"Ok","Mal, revisa FC-4 y FC-4.1 MOV. F.P.")</f>
        <v>Ok</v>
      </c>
      <c r="H40" s="882" t="str">
        <f>IF(ROUND('FC-4_PASIVO'!H21-'FC-4_1_MOV_FP'!L47,2)=0,"Ok","Mal, revisa FC-4 y FC-4.1 MOV. F.P.")</f>
        <v>Ok</v>
      </c>
      <c r="I40" s="395"/>
      <c r="J40" s="391"/>
      <c r="K40" s="391"/>
      <c r="L40" s="373"/>
      <c r="M40" s="373"/>
      <c r="N40" s="373"/>
    </row>
    <row r="41" spans="1:14" s="199" customFormat="1" ht="30" customHeight="1">
      <c r="A41" s="391"/>
      <c r="B41" s="392"/>
      <c r="C41" s="393" t="s">
        <v>137</v>
      </c>
      <c r="D41" s="393"/>
      <c r="E41" s="394"/>
      <c r="F41" s="394"/>
      <c r="G41" s="882" t="str">
        <f>IF(ROUND('FC-4_PASIVO'!G22-'FC-4_1_MOV_FP'!L21,2)=0,"Ok","Mal, revisa FC-4 y FC-4.1 MOV. F.P.")</f>
        <v>Ok</v>
      </c>
      <c r="H41" s="882" t="str">
        <f>IF(ROUND('FC-4_PASIVO'!H22-'FC-4_1_MOV_FP'!L48,2)=0,"Ok","Mal, revisa FC-4 y FC-4.1 MOV. F.P.")</f>
        <v>Ok</v>
      </c>
      <c r="I41" s="395"/>
      <c r="J41" s="391"/>
      <c r="K41" s="391"/>
      <c r="L41" s="373"/>
      <c r="M41" s="373"/>
      <c r="N41" s="373"/>
    </row>
    <row r="42" spans="1:14" s="199" customFormat="1" ht="30" customHeight="1">
      <c r="A42" s="391"/>
      <c r="B42" s="392"/>
      <c r="C42" s="393" t="s">
        <v>138</v>
      </c>
      <c r="D42" s="393"/>
      <c r="E42" s="394"/>
      <c r="F42" s="394"/>
      <c r="G42" s="882" t="str">
        <f>IF(ROUND('FC-4_PASIVO'!G27-'FC-4_1_MOV_FP'!L26,2)=0,"Ok","Mal, revisa FC-4 y FC-4.1 MOV. F.P.")</f>
        <v>Ok</v>
      </c>
      <c r="H42" s="882" t="str">
        <f>IF(ROUND('FC-4_PASIVO'!H27-'FC-4_1_MOV_FP'!L53,2)=0,"Ok","Mal, revisa FC-4 y FC-4.1 MOV. F.P.")</f>
        <v>Ok</v>
      </c>
      <c r="I42" s="395"/>
      <c r="J42" s="391"/>
      <c r="K42" s="391"/>
      <c r="L42" s="373"/>
      <c r="M42" s="373"/>
      <c r="N42" s="373"/>
    </row>
    <row r="43" spans="1:14" s="199" customFormat="1" ht="30" customHeight="1">
      <c r="A43" s="391"/>
      <c r="B43" s="392"/>
      <c r="C43" s="393" t="s">
        <v>139</v>
      </c>
      <c r="D43" s="393"/>
      <c r="E43" s="394"/>
      <c r="F43" s="394"/>
      <c r="G43" s="882" t="str">
        <f>IF(ROUND('FC-4_PASIVO'!G28-'FC-4_1_MOV_FP'!L27,2)=0,"Ok","Mal, revisa FC-4 y FC-4.1 MOV. F.P.")</f>
        <v>Ok</v>
      </c>
      <c r="H43" s="882" t="str">
        <f>IF(ROUND('FC-4_PASIVO'!H28-'FC-4_1_MOV_FP'!L54,2)=0,"Ok","Mal, revisa FC-4 y FC-4.1 MOV. F.P.")</f>
        <v>Ok</v>
      </c>
      <c r="I43" s="395"/>
      <c r="J43" s="391"/>
      <c r="K43" s="391"/>
      <c r="L43" s="373" t="e">
        <f>IF(#REF!="Ok",0,1)</f>
        <v>#REF!</v>
      </c>
      <c r="M43" s="373" t="e">
        <f>IF(#REF!="Ok",0,1)</f>
        <v>#REF!</v>
      </c>
      <c r="N43" s="373" t="e">
        <f>SUM(K43:M43)</f>
        <v>#REF!</v>
      </c>
    </row>
    <row r="44" spans="1:14" s="199" customFormat="1" ht="30" customHeight="1">
      <c r="A44" s="391"/>
      <c r="B44" s="392"/>
      <c r="C44" s="393" t="s">
        <v>140</v>
      </c>
      <c r="D44" s="393"/>
      <c r="E44" s="394"/>
      <c r="F44" s="394"/>
      <c r="G44" s="882" t="str">
        <f>IF(ROUND('FC-4_PASIVO'!G31-'FC-4_1_MOV_FP'!L30,2)=0,"Ok","Mal, revisa FC-4 y FC-4.1 MOV. F.P.")</f>
        <v>Ok</v>
      </c>
      <c r="H44" s="882" t="str">
        <f>IF(ROUND('FC-4_PASIVO'!H31-'FC-4_1_MOV_FP'!L57,2)=0,"Ok","Mal, revisa FC-4 y FC-4.1 MOV. F.P.")</f>
        <v>Ok</v>
      </c>
      <c r="I44" s="395"/>
      <c r="J44" s="391"/>
      <c r="K44" s="391"/>
      <c r="L44" s="373"/>
      <c r="M44" s="373">
        <f>IF(H52="Ok",0,1)</f>
        <v>0</v>
      </c>
      <c r="N44" s="373">
        <f>SUM(K44:M44)</f>
        <v>0</v>
      </c>
    </row>
    <row r="45" spans="1:14" s="199" customFormat="1" ht="30" customHeight="1">
      <c r="A45" s="391"/>
      <c r="B45" s="392"/>
      <c r="C45" s="393" t="s">
        <v>141</v>
      </c>
      <c r="D45" s="393"/>
      <c r="E45" s="394"/>
      <c r="F45" s="394"/>
      <c r="G45" s="882" t="str">
        <f>IF(ROUND('FC-4_1_MOV_FP'!H30-'FC-9_TRANS_SUBV'!H91,2)=0,"Ok","Mal revisa altas 118 en FC-4.1 y FC-9.1")</f>
        <v>Ok</v>
      </c>
      <c r="H45" s="882" t="str">
        <f>IF(ROUND('FC-4_1_MOV_FP'!H57-'FC-9_TRANS_SUBV'!K91,2)=0,"Ok","Mal revisa altas 118 en FC-4 .1 y FC-9.1")</f>
        <v>Ok</v>
      </c>
      <c r="I45" s="395"/>
      <c r="J45" s="391"/>
      <c r="K45" s="391"/>
      <c r="L45" s="373"/>
      <c r="M45" s="373"/>
      <c r="N45" s="373"/>
    </row>
    <row r="46" spans="1:14" s="199" customFormat="1" ht="30" customHeight="1">
      <c r="A46" s="391"/>
      <c r="B46" s="392"/>
      <c r="C46" s="393" t="s">
        <v>142</v>
      </c>
      <c r="D46" s="393"/>
      <c r="E46" s="394"/>
      <c r="F46" s="394"/>
      <c r="G46" s="882" t="str">
        <f>IF(ROUND('FC-4_PASIVO'!G32-'FC-4_1_MOV_FP'!L31,2)=0,"Ok","Mal, revisa FC-4 y FC-4.1 MOV. F.P.")</f>
        <v>Ok</v>
      </c>
      <c r="H46" s="882" t="str">
        <f>IF(ROUND('FC-4_PASIVO'!H32-'FC-4_1_MOV_FP'!L58,2)=0,"Ok","Mal, revisa FC-4 y FC-4.1 MOV. F.P.")</f>
        <v>Ok</v>
      </c>
      <c r="I46" s="395"/>
      <c r="J46" s="391"/>
      <c r="K46" s="391"/>
      <c r="L46" s="373">
        <f t="shared" ref="L46:M48" si="0">IF(G53="Ok",0,1)</f>
        <v>0</v>
      </c>
      <c r="M46" s="373">
        <f t="shared" si="0"/>
        <v>0</v>
      </c>
      <c r="N46" s="373">
        <f>SUM(K46:M46)</f>
        <v>0</v>
      </c>
    </row>
    <row r="47" spans="1:14" s="199" customFormat="1" ht="30" customHeight="1">
      <c r="A47" s="391"/>
      <c r="B47" s="392"/>
      <c r="C47" s="393" t="s">
        <v>143</v>
      </c>
      <c r="D47" s="393"/>
      <c r="E47" s="394"/>
      <c r="F47" s="394"/>
      <c r="G47" s="882" t="str">
        <f>IF(ROUND('FC-4_PASIVO'!G33-'FC-4_1_MOV_FP'!L32,2)=0,"Ok","Mal, revisa FC-4 y FC-4.1 MOV. F.P.")</f>
        <v>Ok</v>
      </c>
      <c r="H47" s="882" t="str">
        <f>IF(ROUND('FC-4_PASIVO'!H33-'FC-4_1_MOV_FP'!L59,2)=0,"Ok","Mal, revisa FC-4 y FC-4.1 MOV. F.P.")</f>
        <v>Ok</v>
      </c>
      <c r="I47" s="395"/>
      <c r="J47" s="391"/>
      <c r="K47" s="391"/>
      <c r="L47" s="373">
        <f t="shared" si="0"/>
        <v>0</v>
      </c>
      <c r="M47" s="373">
        <f t="shared" si="0"/>
        <v>0</v>
      </c>
      <c r="N47" s="373">
        <f>SUM(K47:M47)</f>
        <v>0</v>
      </c>
    </row>
    <row r="48" spans="1:14" s="199" customFormat="1" ht="30" customHeight="1">
      <c r="A48" s="391"/>
      <c r="B48" s="392"/>
      <c r="C48" s="393" t="s">
        <v>144</v>
      </c>
      <c r="D48" s="393"/>
      <c r="E48" s="394"/>
      <c r="F48" s="394"/>
      <c r="G48" s="882" t="str">
        <f>IF(ROUND('FC-4_PASIVO'!G34-'FC-4_1_MOV_FP'!L33,2)=0,"Ok","Mal, revisa FC-4 y FC-4.1 MOV. F.P.")</f>
        <v>Ok</v>
      </c>
      <c r="H48" s="882" t="str">
        <f>IF(ROUND('FC-4_PASIVO'!H34-'FC-4_1_MOV_FP'!L60,2)=0,"Ok","Mal, revisa FC-4 y FC-4.1 MOV. F.P.")</f>
        <v>Ok</v>
      </c>
      <c r="I48" s="395"/>
      <c r="J48" s="391"/>
      <c r="K48" s="391"/>
      <c r="L48" s="373">
        <f t="shared" si="0"/>
        <v>0</v>
      </c>
      <c r="M48" s="373">
        <f t="shared" si="0"/>
        <v>0</v>
      </c>
      <c r="N48" s="373">
        <f>SUM(K48:M48)</f>
        <v>0</v>
      </c>
    </row>
    <row r="49" spans="1:23" s="199" customFormat="1" ht="30" customHeight="1" thickBot="1">
      <c r="A49" s="391"/>
      <c r="B49" s="392"/>
      <c r="C49" s="819" t="s">
        <v>145</v>
      </c>
      <c r="D49" s="819"/>
      <c r="E49" s="820"/>
      <c r="F49" s="820"/>
      <c r="G49" s="820"/>
      <c r="H49" s="820"/>
      <c r="I49" s="395"/>
      <c r="J49" s="391"/>
      <c r="K49" s="391"/>
      <c r="L49" s="373">
        <f>IF(G32="Ok",0,1)</f>
        <v>1</v>
      </c>
      <c r="M49" s="373">
        <f>IF(H32="Ok",0,1)</f>
        <v>0</v>
      </c>
      <c r="N49" s="373">
        <f>SUM(K49:M49)</f>
        <v>1</v>
      </c>
      <c r="O49" s="391"/>
      <c r="P49" s="391"/>
      <c r="Q49" s="391"/>
      <c r="R49" s="391"/>
      <c r="S49" s="391"/>
      <c r="T49" s="391"/>
      <c r="U49" s="391"/>
      <c r="V49" s="391"/>
      <c r="W49" s="391"/>
    </row>
    <row r="50" spans="1:23" s="199" customFormat="1" ht="30" customHeight="1">
      <c r="A50" s="391"/>
      <c r="B50" s="392"/>
      <c r="C50" s="393" t="s">
        <v>146</v>
      </c>
      <c r="D50" s="393"/>
      <c r="E50" s="882" t="str">
        <f>IF(_GENERAL!D14="Normal",IF(ROUND('FC-5_EFE'!F93,2)=ROUND(('FC-5_EFE'!F96-'FC-5_EFE'!F95),2),"Ok","Mal, revisa FC-5"),"No aplica")</f>
        <v>No aplica</v>
      </c>
      <c r="F50" s="394"/>
      <c r="G50" s="882" t="str">
        <f>IF(_GENERAL!D14="Normal",IF(ROUND('FC-5_EFE'!G93,2)=ROUND(('FC-5_EFE'!G96-'FC-5_EFE'!G95),2),"Ok","Mal, revisa FC-5"),"No aplica")</f>
        <v>No aplica</v>
      </c>
      <c r="H50" s="882" t="str">
        <f>IF(_GENERAL!D14="Normal",IF(ROUND('FC-5_EFE'!H93,2)=ROUND(('FC-5_EFE'!H96-'FC-5_EFE'!H95),2),"Ok","Mal, revisa FC-5"),"No aplica")</f>
        <v>No aplica</v>
      </c>
      <c r="I50" s="395"/>
      <c r="J50" s="391"/>
      <c r="K50" s="391"/>
      <c r="L50" s="373"/>
      <c r="M50" s="373"/>
      <c r="N50" s="373"/>
      <c r="O50" s="391"/>
      <c r="P50" s="391"/>
      <c r="Q50" s="391"/>
      <c r="R50" s="391"/>
      <c r="S50" s="391"/>
      <c r="T50" s="391"/>
      <c r="U50" s="391"/>
      <c r="V50" s="391"/>
      <c r="W50" s="391"/>
    </row>
    <row r="51" spans="1:23" s="199" customFormat="1" ht="30" customHeight="1" thickBot="1">
      <c r="A51" s="391"/>
      <c r="B51" s="392"/>
      <c r="C51" s="819" t="s">
        <v>147</v>
      </c>
      <c r="D51" s="819"/>
      <c r="E51" s="820"/>
      <c r="F51" s="820"/>
      <c r="G51" s="820"/>
      <c r="H51" s="820"/>
      <c r="I51" s="395"/>
      <c r="J51" s="391"/>
      <c r="K51" s="391"/>
      <c r="L51" s="373">
        <f>IF(G56="Ok",0,1)</f>
        <v>0</v>
      </c>
      <c r="M51" s="373">
        <f>IF(H56="Ok",0,1)</f>
        <v>0</v>
      </c>
      <c r="N51" s="373">
        <f>SUM(K51:M51)</f>
        <v>0</v>
      </c>
      <c r="O51" s="391"/>
      <c r="P51" s="391"/>
      <c r="Q51" s="391"/>
      <c r="R51" s="391"/>
      <c r="S51" s="391"/>
      <c r="T51" s="391"/>
      <c r="U51" s="391"/>
      <c r="V51" s="391"/>
      <c r="W51" s="391"/>
    </row>
    <row r="52" spans="1:23" s="199" customFormat="1" ht="30" customHeight="1">
      <c r="A52" s="391"/>
      <c r="B52" s="392"/>
      <c r="C52" s="393" t="s">
        <v>148</v>
      </c>
      <c r="D52" s="393"/>
      <c r="E52" s="394"/>
      <c r="F52" s="394"/>
      <c r="G52" s="394"/>
      <c r="H52" s="882" t="str">
        <f>IF(ROUND('FC-6_Inversiones'!G46-SUM('FC-6_Inversiones'!H46:M46),2)=0,"Ok","Mal, revisa totales FC-6")</f>
        <v>Ok</v>
      </c>
      <c r="I52" s="395"/>
      <c r="J52" s="391"/>
      <c r="K52" s="391"/>
      <c r="L52" s="373">
        <f>IF(G57="Ok",0,1)</f>
        <v>0</v>
      </c>
      <c r="M52" s="373">
        <f>IF(H57="Ok",0,1)</f>
        <v>0</v>
      </c>
      <c r="N52" s="373">
        <f>SUM(K52:M52)</f>
        <v>0</v>
      </c>
      <c r="O52" s="391"/>
      <c r="P52" s="391"/>
      <c r="Q52" s="391"/>
      <c r="R52" s="391"/>
      <c r="S52" s="391"/>
      <c r="T52" s="391"/>
      <c r="U52" s="391"/>
      <c r="V52" s="391"/>
      <c r="W52" s="391"/>
    </row>
    <row r="53" spans="1:23" s="199" customFormat="1" ht="30" customHeight="1">
      <c r="A53" s="391"/>
      <c r="B53" s="392"/>
      <c r="C53" s="393" t="s">
        <v>149</v>
      </c>
      <c r="D53" s="393"/>
      <c r="E53" s="394"/>
      <c r="F53" s="394"/>
      <c r="G53" s="882" t="str">
        <f>IF(ROUND('FC-4_ACTIVO'!G17-'FC-7_INF'!M15,2)=0,"Ok","Mal, revisa FC-4 ACTIVO y FC-7")</f>
        <v>Ok</v>
      </c>
      <c r="H53" s="882" t="str">
        <f>IF(ROUND('FC-4_ACTIVO'!H17-'FC-7_INF'!M26,2)=0,"Ok","Mal, revisa FC-4 ACTIVO y FC-7")</f>
        <v>Ok</v>
      </c>
      <c r="I53" s="395"/>
      <c r="J53" s="391"/>
      <c r="K53" s="391"/>
      <c r="L53" s="373"/>
      <c r="M53" s="373"/>
      <c r="N53" s="373"/>
      <c r="O53" s="391"/>
      <c r="P53" s="391"/>
      <c r="Q53" s="391"/>
      <c r="R53" s="391"/>
      <c r="S53" s="391"/>
      <c r="T53" s="391"/>
      <c r="U53" s="391"/>
      <c r="V53" s="391"/>
      <c r="W53" s="391"/>
    </row>
    <row r="54" spans="1:23" s="199" customFormat="1" ht="30" customHeight="1">
      <c r="A54" s="391"/>
      <c r="B54" s="392"/>
      <c r="C54" s="393" t="s">
        <v>150</v>
      </c>
      <c r="D54" s="393"/>
      <c r="E54" s="394"/>
      <c r="F54" s="394"/>
      <c r="G54" s="882" t="str">
        <f>IF(ROUND('FC-4_ACTIVO'!G26-'FC-7_INF'!M16-'FC-7_INF'!M17,2)=0,"Ok","Mal, revisa FC-4 ACTIVO y FC-7")</f>
        <v>Ok</v>
      </c>
      <c r="H54" s="882" t="str">
        <f>IF(ROUND('FC-4_ACTIVO'!H26-'FC-7_INF'!M27-'FC-7_INF'!M28,2)=0,"Ok","Mal, revisa FC-4 ACTIVO y FC-7")</f>
        <v>Ok</v>
      </c>
      <c r="I54" s="395"/>
      <c r="J54" s="391"/>
      <c r="K54" s="391"/>
      <c r="L54" s="373"/>
      <c r="M54" s="373"/>
      <c r="N54" s="373"/>
      <c r="O54" s="391"/>
      <c r="P54" s="391"/>
      <c r="Q54" s="391"/>
      <c r="R54" s="391"/>
      <c r="S54" s="391"/>
      <c r="T54" s="391"/>
      <c r="U54" s="391"/>
      <c r="V54" s="391"/>
      <c r="W54" s="391"/>
    </row>
    <row r="55" spans="1:23" s="199" customFormat="1" ht="30" customHeight="1">
      <c r="A55" s="391"/>
      <c r="B55" s="392"/>
      <c r="C55" s="393" t="s">
        <v>151</v>
      </c>
      <c r="D55" s="393"/>
      <c r="E55" s="394"/>
      <c r="F55" s="394"/>
      <c r="G55" s="882" t="str">
        <f>IF(ROUND(('FC-4_ACTIVO'!G30-'FC-7_INF'!M18-'FC-7_INF'!M19),2)=0,"Ok","Mal, revisa FC-4 ACTIVO y FC-7")</f>
        <v>Ok</v>
      </c>
      <c r="H55" s="882" t="str">
        <f>IF(ROUND(('FC-4_ACTIVO'!H30-'FC-7_INF'!M29-'FC-7_INF'!M30),2)=0,"Ok","Mal, revisa FC-4 ACTIVO y FC-7")</f>
        <v>Ok</v>
      </c>
      <c r="I55" s="395"/>
      <c r="J55" s="391"/>
      <c r="K55" s="391"/>
      <c r="L55" s="373"/>
      <c r="M55" s="373"/>
      <c r="N55" s="373"/>
      <c r="O55" s="391"/>
      <c r="P55" s="391"/>
      <c r="Q55" s="391"/>
      <c r="R55" s="391"/>
      <c r="S55" s="391"/>
      <c r="T55" s="391"/>
      <c r="U55" s="391"/>
      <c r="V55" s="391"/>
      <c r="W55" s="391"/>
    </row>
    <row r="56" spans="1:23" s="199" customFormat="1" ht="30" customHeight="1">
      <c r="A56" s="391"/>
      <c r="B56" s="392"/>
      <c r="C56" s="393" t="s">
        <v>152</v>
      </c>
      <c r="D56" s="393"/>
      <c r="E56" s="394"/>
      <c r="F56" s="394"/>
      <c r="G56" s="882" t="str">
        <f>IF(ROUND('FC-7_INF'!M22-'FC-4_ACTIVO'!G52,2)=0,"Ok","Mal, revisa FC-4 ACTIVO y FC-7")</f>
        <v>Ok</v>
      </c>
      <c r="H56" s="882" t="str">
        <f>IF(ROUND('FC-7_INF'!M33-'FC-4_ACTIVO'!H52,2)=0,"Ok","Mal, revisa FC-4 ACTIVO y FC-7")</f>
        <v>Ok</v>
      </c>
      <c r="I56" s="395"/>
      <c r="J56" s="391"/>
      <c r="K56" s="391"/>
      <c r="L56" s="373"/>
      <c r="M56" s="373"/>
      <c r="N56" s="373"/>
      <c r="O56" s="391"/>
      <c r="P56" s="391"/>
      <c r="Q56" s="391"/>
      <c r="R56" s="391"/>
      <c r="S56" s="391"/>
      <c r="T56" s="391"/>
      <c r="U56" s="391"/>
      <c r="V56" s="391"/>
      <c r="W56" s="391"/>
    </row>
    <row r="57" spans="1:23" s="199" customFormat="1" ht="30" customHeight="1">
      <c r="A57" s="391"/>
      <c r="B57" s="392"/>
      <c r="C57" s="393" t="s">
        <v>153</v>
      </c>
      <c r="D57" s="393"/>
      <c r="E57" s="394"/>
      <c r="F57" s="394"/>
      <c r="G57" s="882" t="str">
        <f>IF(ROUND('FC-3_CPyG'!G42-'FC-7_INF'!I20,2)=0,"Ok","Mal, revisa datos en FC-3 y FC-7")</f>
        <v>Ok</v>
      </c>
      <c r="H57" s="882" t="str">
        <f>IF(ROUND('FC-3_CPyG'!H42-'FC-7_INF'!I31,2)=0,"Ok","Mal, revisa datos en FC-3 y FC-7")</f>
        <v>Ok</v>
      </c>
      <c r="I57" s="395"/>
      <c r="J57" s="391"/>
      <c r="K57" s="391"/>
      <c r="L57" s="373"/>
      <c r="M57" s="373"/>
      <c r="N57" s="373"/>
      <c r="O57" s="391"/>
      <c r="P57" s="391"/>
      <c r="Q57" s="391"/>
      <c r="R57" s="391"/>
      <c r="S57" s="391"/>
      <c r="T57" s="391"/>
      <c r="U57" s="391"/>
      <c r="V57" s="391"/>
      <c r="W57" s="391"/>
    </row>
    <row r="58" spans="1:23" s="199" customFormat="1" ht="30" customHeight="1">
      <c r="A58" s="391"/>
      <c r="B58" s="392"/>
      <c r="C58" s="393" t="s">
        <v>154</v>
      </c>
      <c r="D58" s="393"/>
      <c r="E58" s="394"/>
      <c r="F58" s="394"/>
      <c r="G58" s="394"/>
      <c r="H58" s="882" t="str">
        <f>IF(ROUND('FC-6_Inversiones'!I46-'FC-7_INF'!F31,2)=0,"Ok","Mal, revisa J46 en FC-6 y G31 en FC-7")</f>
        <v>Ok</v>
      </c>
      <c r="I58" s="395"/>
      <c r="J58" s="391"/>
      <c r="K58" s="391"/>
      <c r="L58" s="373"/>
      <c r="M58" s="373"/>
      <c r="N58" s="373"/>
      <c r="O58" s="391"/>
      <c r="P58" s="391"/>
      <c r="Q58" s="391"/>
      <c r="R58" s="391"/>
      <c r="S58" s="391"/>
      <c r="T58" s="391"/>
      <c r="U58" s="391"/>
      <c r="V58" s="391"/>
      <c r="W58" s="391"/>
    </row>
    <row r="59" spans="1:23" s="199" customFormat="1" ht="30" customHeight="1" thickBot="1">
      <c r="A59" s="391"/>
      <c r="B59" s="392"/>
      <c r="C59" s="819" t="s">
        <v>155</v>
      </c>
      <c r="D59" s="819"/>
      <c r="E59" s="820"/>
      <c r="F59" s="820"/>
      <c r="G59" s="820"/>
      <c r="H59" s="820"/>
      <c r="I59" s="395"/>
      <c r="J59" s="391"/>
      <c r="K59" s="391"/>
      <c r="L59" s="373"/>
      <c r="M59" s="373"/>
      <c r="N59" s="373"/>
      <c r="O59" s="391"/>
      <c r="P59" s="391"/>
      <c r="Q59" s="391"/>
      <c r="R59" s="391"/>
      <c r="S59" s="391"/>
      <c r="T59" s="391"/>
      <c r="U59" s="391"/>
      <c r="V59" s="391"/>
      <c r="W59" s="391"/>
    </row>
    <row r="60" spans="1:23" s="199" customFormat="1" ht="30" customHeight="1">
      <c r="A60" s="391"/>
      <c r="B60" s="392"/>
      <c r="C60" s="883" t="s">
        <v>156</v>
      </c>
      <c r="D60" s="883"/>
      <c r="E60" s="884"/>
      <c r="F60" s="884"/>
      <c r="G60" s="882" t="str">
        <f>IF(ROUND(('FC-4_ACTIVO'!G34+'FC-4_ACTIVO'!G78)-'FC-8_INV_FINANCIERAS'!F25,2)=0,"Ok","Mal, revisa datos en FC-4 Activo y FC-8")</f>
        <v>Ok</v>
      </c>
      <c r="H60" s="882" t="str">
        <f>IF(ROUND(('FC-4_ACTIVO'!H34+'FC-4_ACTIVO'!H78)-'FC-8_INV_FINANCIERAS'!J25,2)=0,"Ok","Mal, revisa datos en FC-4 Activo y FC-8")</f>
        <v>Ok</v>
      </c>
      <c r="I60" s="395"/>
      <c r="J60" s="391"/>
      <c r="K60" s="391"/>
      <c r="L60" s="373">
        <f>IF(G66="Ok",0,1)</f>
        <v>0</v>
      </c>
      <c r="M60" s="373">
        <f>IF(H66="Ok",0,1)</f>
        <v>0</v>
      </c>
      <c r="N60" s="373">
        <f>SUM(K60:M60)</f>
        <v>0</v>
      </c>
      <c r="O60" s="391"/>
      <c r="P60" s="391"/>
      <c r="Q60" s="391"/>
      <c r="R60" s="391"/>
      <c r="S60" s="391"/>
      <c r="T60" s="391"/>
      <c r="U60" s="391"/>
      <c r="V60" s="391"/>
      <c r="W60" s="391"/>
    </row>
    <row r="61" spans="1:23" s="199" customFormat="1" ht="30" customHeight="1">
      <c r="A61" s="391"/>
      <c r="B61" s="392"/>
      <c r="C61" s="883" t="s">
        <v>157</v>
      </c>
      <c r="D61" s="883"/>
      <c r="E61" s="884"/>
      <c r="F61" s="884"/>
      <c r="G61" s="882" t="str">
        <f>IF(ROUND((SUM('FC-4_ACTIVO'!G35:G39)+SUM('FC-4_ACTIVO'!G79:G83))-('FC-8_INV_FINANCIERAS'!F34),2)=0,"Ok","Mal, revisa datos en FC-4 Activo y FC-8")</f>
        <v>Ok</v>
      </c>
      <c r="H61" s="882" t="str">
        <f>IF(ROUND((SUM('FC-4_ACTIVO'!H35:H39)+SUM('FC-4_ACTIVO'!H79:H83))-('FC-8_INV_FINANCIERAS'!J34),2)=0,"Ok","Mal, revisa datos en FC-4 Activo y FC-8")</f>
        <v>Ok</v>
      </c>
      <c r="I61" s="395"/>
      <c r="J61" s="391"/>
      <c r="K61" s="391"/>
      <c r="L61" s="373"/>
      <c r="M61" s="373"/>
      <c r="N61" s="373"/>
      <c r="O61" s="391"/>
      <c r="P61" s="391"/>
      <c r="Q61" s="391"/>
      <c r="R61" s="391"/>
      <c r="S61" s="391"/>
      <c r="T61" s="391"/>
      <c r="U61" s="391"/>
      <c r="V61" s="391"/>
      <c r="W61" s="391"/>
    </row>
    <row r="62" spans="1:23" s="199" customFormat="1" ht="30" customHeight="1">
      <c r="A62" s="391"/>
      <c r="B62" s="392"/>
      <c r="C62" s="883" t="s">
        <v>158</v>
      </c>
      <c r="D62" s="883"/>
      <c r="E62" s="884"/>
      <c r="F62" s="884"/>
      <c r="G62" s="882" t="str">
        <f>IF(ROUND(('FC-4_ACTIVO'!G41+'FC-4_ACTIVO'!G85)-'FC-8_INV_FINANCIERAS'!F49,2)=0,"Ok","Mal, revisa datos en FC-4 ACTIVO y FC-8")</f>
        <v>Ok</v>
      </c>
      <c r="H62" s="882" t="str">
        <f>IF(ROUND(('FC-4_ACTIVO'!H41+'FC-4_ACTIVO'!H85)-'FC-8_INV_FINANCIERAS'!J49,2)=0,"Ok","Mal, revisa datos en FC-4 ACTIVO y FC-8")</f>
        <v>Ok</v>
      </c>
      <c r="I62" s="395"/>
      <c r="J62" s="391"/>
      <c r="K62" s="391"/>
      <c r="L62" s="373"/>
      <c r="M62" s="373"/>
      <c r="N62" s="373"/>
      <c r="O62" s="391"/>
      <c r="P62" s="391"/>
      <c r="Q62" s="391"/>
      <c r="R62" s="391"/>
      <c r="S62" s="391"/>
      <c r="T62" s="391"/>
      <c r="U62" s="391"/>
      <c r="V62" s="391"/>
      <c r="W62" s="391"/>
    </row>
    <row r="63" spans="1:23" s="199" customFormat="1" ht="30" customHeight="1">
      <c r="A63" s="391"/>
      <c r="B63" s="392"/>
      <c r="C63" s="883" t="s">
        <v>159</v>
      </c>
      <c r="D63" s="883"/>
      <c r="E63" s="884"/>
      <c r="F63" s="884"/>
      <c r="G63" s="882" t="str">
        <f>IF(ROUND((SUM('FC-4_ACTIVO'!G42:G46)+SUM('FC-4_ACTIVO'!G86:G90))-'FC-8_INV_FINANCIERAS'!F58,2)=0,"Ok","Mal, revisa datos en FC-4 Activo y en FC-8")</f>
        <v>Ok</v>
      </c>
      <c r="H63" s="882" t="str">
        <f>IF(ROUND((SUM('FC-4_ACTIVO'!H42:H46)+SUM('FC-4_ACTIVO'!H86:H90))-'FC-8_INV_FINANCIERAS'!J58,2)=0,"Ok","Mal, revisa datos en FC-4 Activo y en FC-8")</f>
        <v>Ok</v>
      </c>
      <c r="I63" s="395"/>
      <c r="J63" s="391"/>
      <c r="K63" s="391"/>
      <c r="L63" s="373"/>
      <c r="M63" s="373"/>
      <c r="N63" s="373"/>
      <c r="O63" s="391"/>
      <c r="P63" s="391"/>
      <c r="Q63" s="391"/>
      <c r="R63" s="391"/>
      <c r="S63" s="391"/>
      <c r="T63" s="391"/>
      <c r="U63" s="391"/>
      <c r="V63" s="391"/>
      <c r="W63" s="391"/>
    </row>
    <row r="64" spans="1:23" s="199" customFormat="1" ht="30" customHeight="1" thickBot="1">
      <c r="A64" s="391"/>
      <c r="B64" s="392"/>
      <c r="C64" s="819" t="s">
        <v>160</v>
      </c>
      <c r="D64" s="819"/>
      <c r="E64" s="820"/>
      <c r="F64" s="820"/>
      <c r="G64" s="820"/>
      <c r="H64" s="820"/>
      <c r="I64" s="395"/>
      <c r="J64" s="391"/>
      <c r="K64" s="391"/>
      <c r="L64" s="373">
        <f>IF(G69="Ok",0,1)</f>
        <v>0</v>
      </c>
      <c r="M64" s="373">
        <f>IF(H69="Ok",0,1)</f>
        <v>0</v>
      </c>
      <c r="N64" s="373">
        <f>SUM(K64:M64)</f>
        <v>0</v>
      </c>
      <c r="O64" s="391"/>
      <c r="P64" s="391"/>
      <c r="Q64" s="391"/>
      <c r="R64" s="391"/>
      <c r="S64" s="391"/>
      <c r="T64" s="391"/>
      <c r="U64" s="391"/>
      <c r="V64" s="391"/>
      <c r="W64" s="391"/>
    </row>
    <row r="65" spans="1:23" s="199" customFormat="1" ht="30" customHeight="1">
      <c r="A65" s="391"/>
      <c r="B65" s="392"/>
      <c r="C65" s="393" t="s">
        <v>161</v>
      </c>
      <c r="D65" s="393"/>
      <c r="E65" s="884"/>
      <c r="F65" s="884"/>
      <c r="G65" s="882" t="str">
        <f>IF(ROUND('FC-9_TRANS_SUBV'!G41-'FC-9_TRANS_SUBV'!H41-'FC-9_TRANS_SUBV'!I41,2)=0,"Ok","Mal, revisa en FC-9 línea original 31")</f>
        <v>Ok</v>
      </c>
      <c r="H65" s="882" t="str">
        <f>IF(ROUND('FC-9_TRANS_SUBV'!J41-'FC-9_TRANS_SUBV'!K41-'FC-9_TRANS_SUBV'!L41,2)=0,"Ok","Mal, revisa en FC-9 línea original 31")</f>
        <v>Ok</v>
      </c>
      <c r="I65" s="395"/>
      <c r="J65" s="391"/>
      <c r="K65" s="391"/>
      <c r="L65" s="373"/>
      <c r="M65" s="373"/>
      <c r="N65" s="373"/>
      <c r="O65" s="391"/>
      <c r="P65" s="391"/>
      <c r="Q65" s="391"/>
      <c r="R65" s="391"/>
      <c r="S65" s="391"/>
      <c r="T65" s="391"/>
      <c r="U65" s="391"/>
      <c r="V65" s="391"/>
      <c r="W65" s="391"/>
    </row>
    <row r="66" spans="1:23" s="199" customFormat="1" ht="30" customHeight="1">
      <c r="A66" s="391"/>
      <c r="B66" s="392"/>
      <c r="C66" s="393" t="s">
        <v>162</v>
      </c>
      <c r="D66" s="393"/>
      <c r="E66" s="394"/>
      <c r="F66" s="394"/>
      <c r="G66" s="882" t="str">
        <f>IF(ROUND('FC-4_PASIVO'!G41-'FC-9_TRANS_SUBV'!H44,2)=0,"Ok","Mal, revisa FC-4 PASIVO y FC-9")</f>
        <v>Ok</v>
      </c>
      <c r="H66" s="882" t="str">
        <f>IF(ROUND('FC-4_PASIVO'!H41-'FC-9_TRANS_SUBV'!K44,2)=0,"Ok","Mal, revisa FC-4 PASIVO y FC-9")</f>
        <v>Ok</v>
      </c>
      <c r="I66" s="395"/>
      <c r="J66" s="391"/>
      <c r="K66" s="391"/>
      <c r="L66" s="373"/>
      <c r="M66" s="373"/>
      <c r="N66" s="373"/>
      <c r="O66" s="391"/>
      <c r="P66" s="391"/>
      <c r="Q66" s="391"/>
      <c r="R66" s="391"/>
      <c r="S66" s="391"/>
      <c r="T66" s="391"/>
      <c r="U66" s="391"/>
      <c r="V66" s="391"/>
      <c r="W66" s="391"/>
    </row>
    <row r="67" spans="1:23" s="391" customFormat="1" ht="30" customHeight="1">
      <c r="B67" s="392"/>
      <c r="C67" s="393" t="s">
        <v>163</v>
      </c>
      <c r="D67" s="393"/>
      <c r="E67" s="394"/>
      <c r="F67" s="394"/>
      <c r="G67" s="882" t="str">
        <f>IF(ROUND('FC-4_PASIVO'!G59-'FC-9_TRANS_SUBV'!I44,2)=0,"Ok","Mal, revisa FC-4 PASIVO y FC-9")</f>
        <v>Ok</v>
      </c>
      <c r="H67" s="882" t="str">
        <f>IF(ROUND('FC-4_PASIVO'!H59-'FC-9_TRANS_SUBV'!L44,2)=0,"Ok","Mal, revisa FC-4 PASIVO y FC-9")</f>
        <v>Ok</v>
      </c>
      <c r="I67" s="395"/>
      <c r="L67" s="373">
        <f>IF(G81="Ok",0,1)</f>
        <v>0</v>
      </c>
      <c r="M67" s="373">
        <f>IF(H81="Ok",0,1)</f>
        <v>0</v>
      </c>
      <c r="N67" s="373">
        <f>SUM(K67:M67)</f>
        <v>0</v>
      </c>
    </row>
    <row r="68" spans="1:23" s="199" customFormat="1" ht="30" customHeight="1">
      <c r="A68" s="391"/>
      <c r="B68" s="392"/>
      <c r="C68" s="393" t="s">
        <v>164</v>
      </c>
      <c r="D68" s="393"/>
      <c r="E68" s="394"/>
      <c r="F68" s="394"/>
      <c r="G68" s="882" t="str">
        <f>IF(ROUND('FC-3_CPyG'!G46+('FC-9_TRANS_SUBV'!G43),2)=0,"Ok","Mal, revisa datos FC-3 epígr. A) 9. y FC-9 celda H46")</f>
        <v>Ok</v>
      </c>
      <c r="H68" s="882" t="str">
        <f>IF(ROUND('FC-3_CPyG'!H46+('FC-9_TRANS_SUBV'!J43),2)=0,"Ok","Mal, revisa datos FC-3 epígr. A) 9. y FC-9 celda K46")</f>
        <v>Ok</v>
      </c>
      <c r="I68" s="395"/>
      <c r="J68" s="391"/>
      <c r="K68" s="391"/>
      <c r="L68" s="373"/>
      <c r="M68" s="373"/>
      <c r="N68" s="373"/>
      <c r="O68" s="391"/>
      <c r="P68" s="391"/>
      <c r="Q68" s="391"/>
      <c r="R68" s="391"/>
      <c r="S68" s="391"/>
      <c r="T68" s="391"/>
      <c r="U68" s="391"/>
      <c r="V68" s="391"/>
      <c r="W68" s="391"/>
    </row>
    <row r="69" spans="1:23" s="199" customFormat="1" ht="30" customHeight="1">
      <c r="A69" s="391"/>
      <c r="B69" s="392"/>
      <c r="C69" s="393" t="s">
        <v>165</v>
      </c>
      <c r="D69" s="393"/>
      <c r="E69" s="394"/>
      <c r="F69" s="394"/>
      <c r="G69" s="882" t="str">
        <f>IF(ROUND('FC-3_CPyG'!G29-'FC-9_TRANS_SUBV'!G74-'FC-9_TRANS_SUBV'!I91,2)=0,"Ok","Mal, revisa dato en FC-3 y FC-9 (Apdos I.2 y II)")</f>
        <v>Ok</v>
      </c>
      <c r="H69" s="882" t="str">
        <f>IF(ROUND('FC-3_CPyG'!H29-'FC-9_TRANS_SUBV'!H74-'FC-9_TRANS_SUBV'!L91,2)=0,"Ok","Mal, revisa dato en FC-3 y FC-9 (Apdos I.2 y II)")</f>
        <v>Ok</v>
      </c>
      <c r="I69" s="395"/>
      <c r="J69" s="391"/>
      <c r="K69" s="391"/>
      <c r="L69" s="373"/>
      <c r="M69" s="373"/>
      <c r="N69" s="373"/>
      <c r="O69" s="391"/>
      <c r="P69" s="391"/>
      <c r="Q69" s="391"/>
      <c r="R69" s="391"/>
      <c r="S69" s="391"/>
      <c r="T69" s="391"/>
      <c r="U69" s="391"/>
      <c r="V69" s="391"/>
      <c r="W69" s="391"/>
    </row>
    <row r="70" spans="1:23" s="199" customFormat="1" ht="30" customHeight="1">
      <c r="A70" s="391"/>
      <c r="B70" s="392"/>
      <c r="C70" s="393" t="s">
        <v>166</v>
      </c>
      <c r="D70" s="393"/>
      <c r="E70" s="394"/>
      <c r="F70" s="394"/>
      <c r="G70" s="394"/>
      <c r="H70" s="882" t="str">
        <f>IF(ROUND('FC-3_1_INF_ADIC_CPyG'!E82-'FC-9_TRANS_SUBV'!H75-'FC-9_TRANS_SUBV'!L92,2)=0,"Ok","Mal, revisa dato en FC-3_1 y FC-9")</f>
        <v>Ok</v>
      </c>
      <c r="I70" s="395"/>
      <c r="J70" s="391"/>
      <c r="K70" s="391"/>
      <c r="L70" s="373"/>
      <c r="M70" s="373"/>
      <c r="N70" s="373"/>
      <c r="O70" s="391"/>
      <c r="P70" s="391"/>
      <c r="Q70" s="391"/>
      <c r="R70" s="391"/>
      <c r="S70" s="391"/>
      <c r="T70" s="391"/>
      <c r="U70" s="391"/>
      <c r="V70" s="391"/>
      <c r="W70" s="391"/>
    </row>
    <row r="71" spans="1:23" s="199" customFormat="1" ht="30" customHeight="1">
      <c r="A71" s="391"/>
      <c r="B71" s="392"/>
      <c r="C71" s="393" t="s">
        <v>167</v>
      </c>
      <c r="D71" s="393"/>
      <c r="E71" s="394"/>
      <c r="F71" s="394"/>
      <c r="G71" s="882" t="str">
        <f ca="1">IF(AND(_GENERAL!D16&lt;&gt;"Íntegra", 'FC-9_TRANS_SUBV'!H92='FC-9_TRANS_SUBV'!G92,'FC-9_TRANS_SUBV'!H92&gt;0),"Mal, revisa dato en FC-9 (Apdo II)","Ok")</f>
        <v>Ok</v>
      </c>
      <c r="H71" s="882" t="str">
        <f ca="1">IF(AND(_GENERAL!D16&lt;&gt;"Íntegra", 'FC-9_TRANS_SUBV'!J92= 'FC-9_TRANS_SUBV'!K92,'FC-9_TRANS_SUBV'!J92&gt;0),"Mal, revisa dato en FC-9 (Apdo II)","Ok")</f>
        <v>Ok</v>
      </c>
      <c r="I71" s="395"/>
      <c r="J71" s="391"/>
      <c r="K71" s="391"/>
      <c r="L71" s="373"/>
      <c r="M71" s="373"/>
      <c r="N71" s="373"/>
      <c r="O71" s="391"/>
      <c r="P71" s="391"/>
      <c r="Q71" s="391"/>
      <c r="R71" s="391"/>
      <c r="S71" s="391"/>
      <c r="T71" s="391"/>
      <c r="U71" s="391"/>
      <c r="V71" s="391"/>
      <c r="W71" s="391"/>
    </row>
    <row r="72" spans="1:23" s="199" customFormat="1" ht="30" customHeight="1">
      <c r="A72" s="391"/>
      <c r="B72" s="392"/>
      <c r="C72" s="393" t="s">
        <v>168</v>
      </c>
      <c r="D72" s="393"/>
      <c r="E72" s="394"/>
      <c r="F72" s="885"/>
      <c r="G72" s="1221" t="str">
        <f>IF(ROUND('FC-4_PASIVO'!G55+'FC-4_PASIVO'!G76-'FC-9_1_SUBV_REINT'!J66,2)=0,"Ok","Mal, revisa datos en FC-4 Pasivo y FC-9_1")</f>
        <v>Ok</v>
      </c>
      <c r="H72" s="882" t="str">
        <f>IF(ROUND('FC-4_PASIVO'!H55-'FC-9_1_SUBV_REINT'!P66,2)=0,"Ok","Mal, revisa datos en FC-4 Pasivo y FC-9_1")</f>
        <v>Ok</v>
      </c>
      <c r="I72" s="395"/>
      <c r="J72" s="391"/>
      <c r="K72" s="391"/>
      <c r="L72" s="373"/>
      <c r="M72" s="373"/>
      <c r="N72" s="373"/>
      <c r="O72" s="391"/>
      <c r="P72" s="391"/>
      <c r="Q72" s="391"/>
      <c r="R72" s="391"/>
      <c r="S72" s="391"/>
      <c r="T72" s="391"/>
      <c r="U72" s="391"/>
      <c r="V72" s="391"/>
      <c r="W72" s="391"/>
    </row>
    <row r="73" spans="1:23" s="199" customFormat="1" ht="30" customHeight="1">
      <c r="A73" s="391"/>
      <c r="B73" s="392"/>
      <c r="C73" s="393" t="s">
        <v>169</v>
      </c>
      <c r="D73" s="393"/>
      <c r="E73" s="394"/>
      <c r="F73" s="858"/>
      <c r="G73" s="1222"/>
      <c r="H73" s="882" t="str">
        <f>IF(ROUND('FC-4_PASIVO'!H76-'FC-9_1_SUBV_REINT'!O66,2)=0,"Ok","Mal, revisa datos en FC-4 Pasivo y FC-9_1")</f>
        <v>Ok</v>
      </c>
      <c r="I73" s="395"/>
      <c r="J73" s="391"/>
      <c r="K73" s="391"/>
      <c r="L73" s="373"/>
      <c r="M73" s="373"/>
      <c r="N73" s="373"/>
      <c r="O73" s="391"/>
      <c r="P73" s="391"/>
      <c r="Q73" s="391"/>
      <c r="R73" s="391"/>
      <c r="S73" s="391"/>
      <c r="T73" s="391"/>
      <c r="U73" s="391"/>
      <c r="V73" s="391"/>
      <c r="W73" s="391"/>
    </row>
    <row r="74" spans="1:23" s="199" customFormat="1" ht="30" customHeight="1">
      <c r="A74" s="391"/>
      <c r="B74" s="392"/>
      <c r="C74" s="393" t="s">
        <v>170</v>
      </c>
      <c r="D74" s="393"/>
      <c r="E74" s="394"/>
      <c r="F74" s="394"/>
      <c r="G74" s="394"/>
      <c r="H74" s="882" t="str">
        <f>IF(ROUND('FC-9_1_SUBV_REINT'!R59,2)=ROUND('FC-9_1_SUBV_REINT'!R60+'FC-9_1_SUBV_REINT'!R63,2),"Ok","Mal, cumplimenta el tipo de aportación")</f>
        <v>Ok</v>
      </c>
      <c r="I74" s="395"/>
      <c r="J74" s="391"/>
      <c r="K74" s="391"/>
      <c r="L74" s="373"/>
      <c r="M74" s="373">
        <f>IF(H88="Ok",0,1)</f>
        <v>0</v>
      </c>
      <c r="N74" s="373">
        <f>SUM(K74:M74)</f>
        <v>0</v>
      </c>
      <c r="O74" s="391"/>
      <c r="P74" s="391"/>
      <c r="Q74" s="391"/>
      <c r="R74" s="391"/>
      <c r="S74" s="391"/>
      <c r="T74" s="391"/>
      <c r="U74" s="391"/>
      <c r="V74" s="391"/>
      <c r="W74" s="391"/>
    </row>
    <row r="75" spans="1:23" s="199" customFormat="1" ht="30" customHeight="1">
      <c r="A75" s="391"/>
      <c r="B75" s="392"/>
      <c r="C75" s="393" t="s">
        <v>171</v>
      </c>
      <c r="D75" s="393"/>
      <c r="E75" s="394"/>
      <c r="F75" s="394"/>
      <c r="G75" s="394"/>
      <c r="H75" s="882" t="str">
        <f>IF(ROUND('FC-9_1_SUBV_REINT'!N66-'FC-9_1_SUBV_REINT'!O66-'FC-9_1_SUBV_REINT'!P66,2)=0,"Ok","Mal, revisa la clasificación")</f>
        <v>Ok</v>
      </c>
      <c r="I75" s="395"/>
      <c r="J75" s="391"/>
      <c r="K75" s="391"/>
      <c r="L75" s="373"/>
      <c r="M75" s="373"/>
      <c r="N75" s="373"/>
      <c r="O75" s="391"/>
      <c r="P75" s="391"/>
      <c r="Q75" s="391"/>
      <c r="R75" s="391"/>
      <c r="S75" s="391"/>
      <c r="T75" s="391"/>
      <c r="U75" s="391"/>
      <c r="V75" s="391"/>
      <c r="W75" s="391"/>
    </row>
    <row r="76" spans="1:23" s="199" customFormat="1" ht="30" customHeight="1">
      <c r="A76" s="391"/>
      <c r="B76" s="392"/>
      <c r="C76" s="393" t="s">
        <v>172</v>
      </c>
      <c r="D76" s="393"/>
      <c r="E76" s="394"/>
      <c r="F76" s="394"/>
      <c r="G76" s="394"/>
      <c r="H76" s="882" t="str">
        <f>IF(ROUND('FC-9_TRANS_SUBV'!J41+'FC-9_1_SUBV_REINT'!M63,2)=0,"Ok","Revisa traspaso aportac. Capital de FC-9.1 a FC-9")</f>
        <v>Ok</v>
      </c>
      <c r="I76" s="395"/>
      <c r="J76" s="391"/>
      <c r="K76" s="391"/>
      <c r="L76" s="373"/>
      <c r="M76" s="373"/>
      <c r="N76" s="373"/>
      <c r="O76" s="391"/>
      <c r="P76" s="391"/>
      <c r="Q76" s="391"/>
      <c r="R76" s="391"/>
      <c r="S76" s="391"/>
      <c r="T76" s="391"/>
      <c r="U76" s="391"/>
      <c r="V76" s="391"/>
      <c r="W76" s="391"/>
    </row>
    <row r="77" spans="1:23" s="199" customFormat="1" ht="30" customHeight="1">
      <c r="A77" s="391"/>
      <c r="B77" s="392"/>
      <c r="C77" s="857" t="s">
        <v>173</v>
      </c>
      <c r="D77" s="857"/>
      <c r="E77" s="886"/>
      <c r="F77" s="886"/>
      <c r="G77" s="886"/>
      <c r="H77" s="882" t="str">
        <f>IF(ROUND('FC-9_TRANS_SUBV'!H74+'FC-9_1_SUBV_REINT'!M60,2)=0,"Ok","Revisa traspaso aportac. Capital de FC-9.1 a FC-9")</f>
        <v>Ok</v>
      </c>
      <c r="I77" s="395"/>
      <c r="J77" s="391"/>
      <c r="K77" s="391"/>
      <c r="L77" s="373"/>
      <c r="M77" s="373"/>
      <c r="N77" s="373"/>
      <c r="O77" s="391"/>
      <c r="P77" s="391"/>
      <c r="Q77" s="391"/>
      <c r="R77" s="391"/>
      <c r="S77" s="391"/>
      <c r="T77" s="391"/>
      <c r="U77" s="391"/>
      <c r="V77" s="391"/>
      <c r="W77" s="391"/>
    </row>
    <row r="78" spans="1:23" s="199" customFormat="1" ht="30" customHeight="1" thickBot="1">
      <c r="A78" s="391"/>
      <c r="B78" s="392"/>
      <c r="C78" s="819" t="s">
        <v>174</v>
      </c>
      <c r="D78" s="819"/>
      <c r="E78" s="820"/>
      <c r="F78" s="820"/>
      <c r="G78" s="820"/>
      <c r="H78" s="820"/>
      <c r="I78" s="395"/>
      <c r="J78" s="391"/>
      <c r="K78" s="391"/>
      <c r="L78" s="373"/>
      <c r="M78" s="373"/>
      <c r="N78" s="373"/>
      <c r="O78" s="391"/>
      <c r="P78" s="391"/>
      <c r="Q78" s="391"/>
      <c r="R78" s="391"/>
      <c r="S78" s="391"/>
      <c r="T78" s="391"/>
      <c r="U78" s="391"/>
      <c r="V78" s="391"/>
      <c r="W78" s="391"/>
    </row>
    <row r="79" spans="1:23" s="199" customFormat="1" ht="30" customHeight="1">
      <c r="A79" s="391"/>
      <c r="B79" s="392"/>
      <c r="C79" s="393" t="s">
        <v>175</v>
      </c>
      <c r="D79" s="393"/>
      <c r="E79" s="394"/>
      <c r="F79" s="394"/>
      <c r="G79" s="1221" t="str">
        <f>IF(ROUND(('FC-4_PASIVO'!G50+'FC-4_PASIVO'!G71)-('FC-10_DEUDAS'!L28),2)=0,"Ok","Mal, revisa datos en FC-4 PASIVO y FC-10")</f>
        <v>Ok</v>
      </c>
      <c r="H79" s="882" t="str">
        <f>IF(ROUND(('FC-4_PASIVO'!H50)-('FC-10_DEUDAS'!S28),2)=0,"Ok","Mal, revisa datos en FC-4 PASIVO y FC-10")</f>
        <v>Ok</v>
      </c>
      <c r="I79" s="395"/>
      <c r="J79" s="391"/>
      <c r="K79" s="391"/>
      <c r="L79" s="373"/>
      <c r="M79" s="373"/>
      <c r="N79" s="373"/>
      <c r="O79" s="391"/>
      <c r="P79" s="391"/>
      <c r="Q79" s="391"/>
      <c r="R79" s="391"/>
      <c r="S79" s="391"/>
      <c r="T79" s="391"/>
      <c r="U79" s="391"/>
      <c r="V79" s="391"/>
      <c r="W79" s="391"/>
    </row>
    <row r="80" spans="1:23" s="199" customFormat="1" ht="30" customHeight="1">
      <c r="A80" s="391"/>
      <c r="B80" s="392"/>
      <c r="C80" s="393" t="s">
        <v>176</v>
      </c>
      <c r="D80" s="393"/>
      <c r="E80" s="394"/>
      <c r="F80" s="394"/>
      <c r="G80" s="1222"/>
      <c r="H80" s="882" t="str">
        <f>IF(ROUND(('FC-4_PASIVO'!H71)-('FC-10_DEUDAS'!R28),2)=0,"Ok","Mal, revisa datos en FC-4 PASIVO y FC-10")</f>
        <v>Ok</v>
      </c>
      <c r="I80" s="395"/>
      <c r="J80" s="391"/>
      <c r="K80" s="391"/>
      <c r="L80" s="373"/>
      <c r="M80" s="373"/>
      <c r="N80" s="373"/>
      <c r="O80" s="391"/>
      <c r="P80" s="391"/>
      <c r="Q80" s="391"/>
      <c r="R80" s="391"/>
      <c r="S80" s="391"/>
      <c r="T80" s="391"/>
      <c r="U80" s="391"/>
      <c r="V80" s="391"/>
      <c r="W80" s="391"/>
    </row>
    <row r="81" spans="1:23" s="199" customFormat="1" ht="30" customHeight="1">
      <c r="A81" s="391"/>
      <c r="B81" s="392"/>
      <c r="C81" s="393" t="s">
        <v>177</v>
      </c>
      <c r="D81" s="393"/>
      <c r="E81" s="394"/>
      <c r="F81" s="885"/>
      <c r="G81" s="1221" t="str">
        <f>IF(ROUND(('FC-4_PASIVO'!G51+'FC-4_PASIVO'!G52+'FC-4_PASIVO'!G72+'FC-4_PASIVO'!G73)-('FC-10_DEUDAS'!L51),2)=0,"Ok","Mal, revisa datos en FC-4 PASIVO y FC-10")</f>
        <v>Ok</v>
      </c>
      <c r="H81" s="882" t="str">
        <f>IF(ROUND(('FC-4_PASIVO'!H51+'FC-4_PASIVO'!H52)-('FC-10_DEUDAS'!S51),2)=0,"Ok","Mal, revisa datos en FC-4 PASIVO y FC-10")</f>
        <v>Ok</v>
      </c>
      <c r="I81" s="395"/>
      <c r="J81" s="391"/>
      <c r="K81" s="391"/>
      <c r="L81" s="373"/>
      <c r="M81" s="373"/>
      <c r="N81" s="373"/>
      <c r="O81" s="391"/>
      <c r="P81" s="391"/>
      <c r="Q81" s="391"/>
      <c r="R81" s="391"/>
      <c r="S81" s="391"/>
      <c r="T81" s="391"/>
      <c r="U81" s="391"/>
      <c r="V81" s="391"/>
      <c r="W81" s="391"/>
    </row>
    <row r="82" spans="1:23" s="199" customFormat="1" ht="30" customHeight="1">
      <c r="A82" s="391"/>
      <c r="B82" s="392"/>
      <c r="C82" s="393" t="s">
        <v>178</v>
      </c>
      <c r="D82" s="393"/>
      <c r="E82" s="394"/>
      <c r="F82" s="858"/>
      <c r="G82" s="1222"/>
      <c r="H82" s="882" t="str">
        <f>IF(ROUND(('FC-4_PASIVO'!H72+'FC-4_PASIVO'!H73)-('FC-10_DEUDAS'!R51),2)=0,"Ok","Mal, revisa datos en FC-4 PASIVO y FC-10")</f>
        <v>Ok</v>
      </c>
      <c r="I82" s="395"/>
      <c r="J82" s="391"/>
      <c r="K82" s="391"/>
      <c r="L82" s="373"/>
      <c r="M82" s="373"/>
      <c r="N82" s="373"/>
      <c r="O82" s="391"/>
      <c r="P82" s="391"/>
      <c r="Q82" s="391"/>
      <c r="R82" s="391"/>
      <c r="S82" s="391"/>
      <c r="T82" s="391"/>
      <c r="U82" s="391"/>
      <c r="V82" s="391"/>
      <c r="W82" s="391"/>
    </row>
    <row r="83" spans="1:23" s="199" customFormat="1" ht="30" customHeight="1">
      <c r="A83" s="391"/>
      <c r="B83" s="392"/>
      <c r="C83" s="393" t="s">
        <v>179</v>
      </c>
      <c r="D83" s="393"/>
      <c r="E83" s="394"/>
      <c r="F83" s="885"/>
      <c r="G83" s="1221" t="str">
        <f>IF(ROUND('FC-4_PASIVO'!G56+'FC-4_PASIVO'!G77-'FC-10_DEUDAS'!L73,2)=0,"Ok","Mal, revisa datos en FC-4 Pasivo y FC-10")</f>
        <v>Ok</v>
      </c>
      <c r="H83" s="882" t="str">
        <f>IF(ROUND('FC-4_PASIVO'!H56-'FC-10_DEUDAS'!S73,2)=0,"Ok","Mal, revisa datos en FC-4 Pasivo y FC-10")</f>
        <v>Ok</v>
      </c>
      <c r="I83" s="395"/>
      <c r="J83" s="391"/>
      <c r="K83" s="391"/>
      <c r="L83" s="373"/>
      <c r="M83" s="373"/>
      <c r="N83" s="373"/>
      <c r="O83" s="391"/>
      <c r="P83" s="391"/>
      <c r="Q83" s="391"/>
      <c r="R83" s="391"/>
      <c r="S83" s="391"/>
      <c r="T83" s="391"/>
      <c r="U83" s="391"/>
      <c r="V83" s="391"/>
      <c r="W83" s="391"/>
    </row>
    <row r="84" spans="1:23" s="199" customFormat="1" ht="30" customHeight="1">
      <c r="A84" s="391"/>
      <c r="B84" s="392"/>
      <c r="C84" s="393" t="s">
        <v>180</v>
      </c>
      <c r="D84" s="393"/>
      <c r="E84" s="394"/>
      <c r="F84" s="858"/>
      <c r="G84" s="1222"/>
      <c r="H84" s="882" t="str">
        <f>IF(ROUND('FC-4_PASIVO'!H77-'FC-10_DEUDAS'!R73,2)=0,"Ok","Mal, revisa datos en FC-4 Pasivo y FC-10")</f>
        <v>Ok</v>
      </c>
      <c r="I84" s="395"/>
      <c r="J84" s="391"/>
      <c r="K84" s="391"/>
      <c r="L84" s="373"/>
      <c r="M84" s="373"/>
      <c r="N84" s="373"/>
      <c r="O84" s="391"/>
      <c r="P84" s="391"/>
      <c r="Q84" s="391"/>
      <c r="R84" s="391"/>
      <c r="S84" s="391"/>
      <c r="T84" s="391"/>
      <c r="U84" s="391"/>
      <c r="V84" s="391"/>
      <c r="W84" s="391"/>
    </row>
    <row r="85" spans="1:23" s="199" customFormat="1" ht="30" customHeight="1">
      <c r="A85" s="391"/>
      <c r="B85" s="392"/>
      <c r="C85" s="393" t="s">
        <v>181</v>
      </c>
      <c r="D85" s="393"/>
      <c r="E85" s="394"/>
      <c r="F85" s="885"/>
      <c r="G85" s="1221" t="str">
        <f>IF(ROUND('FC-4_PASIVO'!G57+'FC-4_PASIVO'!G78-'FC-10_DEUDAS'!L95,2)=0,"Ok","Mal, revisa datos en FC-4 Pasivo y FC-10")</f>
        <v>Ok</v>
      </c>
      <c r="H85" s="882" t="str">
        <f>IF(ROUND('FC-4_PASIVO'!H57-'FC-10_DEUDAS'!S95,2)=0,"Ok","Mal, revisa datos en FC-4 Pasivo y FC-10")</f>
        <v>Ok</v>
      </c>
      <c r="I85" s="395"/>
      <c r="J85" s="391"/>
      <c r="K85" s="391"/>
      <c r="L85" s="373"/>
      <c r="M85" s="373"/>
      <c r="N85" s="373"/>
      <c r="O85" s="391"/>
      <c r="P85" s="391"/>
      <c r="Q85" s="391"/>
      <c r="R85" s="391"/>
      <c r="S85" s="391"/>
      <c r="T85" s="391"/>
      <c r="U85" s="391"/>
      <c r="V85" s="391"/>
      <c r="W85" s="391"/>
    </row>
    <row r="86" spans="1:23" s="199" customFormat="1" ht="30" customHeight="1">
      <c r="A86" s="391"/>
      <c r="B86" s="392"/>
      <c r="C86" s="393" t="s">
        <v>182</v>
      </c>
      <c r="D86" s="393"/>
      <c r="E86" s="394"/>
      <c r="F86" s="858"/>
      <c r="G86" s="1222"/>
      <c r="H86" s="882" t="str">
        <f>IF(ROUND('FC-4_PASIVO'!H78-'FC-10_DEUDAS'!R95,2)=0,"Ok","Mal, revisa datos en FC-4 Pasivo y FC-10")</f>
        <v>Ok</v>
      </c>
      <c r="I86" s="395"/>
      <c r="J86" s="391"/>
      <c r="K86" s="391"/>
      <c r="L86" s="373"/>
      <c r="M86" s="373"/>
      <c r="N86" s="373"/>
      <c r="O86" s="391"/>
      <c r="P86" s="391"/>
      <c r="Q86" s="391"/>
      <c r="R86" s="391"/>
      <c r="S86" s="391"/>
      <c r="T86" s="391"/>
      <c r="U86" s="391"/>
      <c r="V86" s="391"/>
      <c r="W86" s="391"/>
    </row>
    <row r="87" spans="1:23" s="199" customFormat="1" ht="30" customHeight="1">
      <c r="A87" s="391"/>
      <c r="B87" s="392"/>
      <c r="C87" s="393" t="s">
        <v>183</v>
      </c>
      <c r="D87" s="393"/>
      <c r="E87" s="394"/>
      <c r="F87" s="858"/>
      <c r="G87" s="394"/>
      <c r="H87" s="882" t="str">
        <f>IF(ROUND('FC-10_DEUDAS'!Q28-'FC-10_DEUDAS'!R28-'FC-10_DEUDAS'!S28,2)=0,"Ok","Mal, revisa datos, fila inicial 28 en FC-10")</f>
        <v>Ok</v>
      </c>
      <c r="I87" s="395"/>
      <c r="J87" s="391"/>
      <c r="K87" s="391"/>
      <c r="L87" s="373"/>
      <c r="M87" s="373"/>
      <c r="N87" s="373"/>
      <c r="O87" s="391"/>
      <c r="P87" s="391"/>
      <c r="Q87" s="391"/>
      <c r="R87" s="391"/>
      <c r="S87" s="391"/>
      <c r="T87" s="391"/>
      <c r="U87" s="391"/>
      <c r="V87" s="391"/>
      <c r="W87" s="391"/>
    </row>
    <row r="88" spans="1:23" s="199" customFormat="1" ht="30" customHeight="1">
      <c r="A88" s="391"/>
      <c r="B88" s="392"/>
      <c r="C88" s="393" t="s">
        <v>184</v>
      </c>
      <c r="D88" s="393"/>
      <c r="E88" s="394"/>
      <c r="F88" s="394"/>
      <c r="G88" s="394"/>
      <c r="H88" s="882" t="str">
        <f>IF(ROUND('FC-10_DEUDAS'!Q51-'FC-10_DEUDAS'!R51-'FC-10_DEUDAS'!S51,2)=0,"Ok","Mal, revisa datos, fila inicial 51 en FC-10")</f>
        <v>Ok</v>
      </c>
      <c r="I88" s="395"/>
      <c r="J88" s="391"/>
      <c r="K88" s="391"/>
      <c r="L88" s="373"/>
      <c r="M88" s="373"/>
      <c r="N88" s="373"/>
      <c r="O88" s="391"/>
      <c r="P88" s="391"/>
      <c r="Q88" s="391"/>
      <c r="R88" s="391"/>
      <c r="S88" s="391"/>
      <c r="T88" s="391"/>
      <c r="U88" s="391"/>
      <c r="V88" s="391"/>
      <c r="W88" s="391"/>
    </row>
    <row r="89" spans="1:23" s="199" customFormat="1" ht="30" customHeight="1">
      <c r="A89" s="391"/>
      <c r="B89" s="392"/>
      <c r="C89" s="393" t="s">
        <v>185</v>
      </c>
      <c r="D89" s="620"/>
      <c r="E89" s="885"/>
      <c r="F89" s="885"/>
      <c r="G89" s="885"/>
      <c r="H89" s="882" t="str">
        <f>IF(ROUND('FC-10_DEUDAS'!Q73-'FC-10_DEUDAS'!R73-'FC-10_DEUDAS'!S73,2)=0,"Ok","Mal, revisa datos, fila inicial 73 en FC-10")</f>
        <v>Ok</v>
      </c>
      <c r="I89" s="395"/>
      <c r="J89" s="391"/>
      <c r="K89" s="391"/>
      <c r="L89" s="373"/>
      <c r="M89" s="373"/>
      <c r="N89" s="373"/>
      <c r="O89" s="391"/>
      <c r="P89" s="391"/>
      <c r="Q89" s="391"/>
      <c r="R89" s="391"/>
      <c r="S89" s="391"/>
      <c r="T89" s="391"/>
      <c r="U89" s="391"/>
      <c r="V89" s="391"/>
      <c r="W89" s="391"/>
    </row>
    <row r="90" spans="1:23" s="199" customFormat="1" ht="30" customHeight="1">
      <c r="A90" s="391"/>
      <c r="B90" s="392"/>
      <c r="C90" s="393" t="s">
        <v>186</v>
      </c>
      <c r="D90" s="620"/>
      <c r="E90" s="885"/>
      <c r="F90" s="885"/>
      <c r="G90" s="885"/>
      <c r="H90" s="882" t="str">
        <f>IF(ROUND('FC-10_DEUDAS'!Q95-'FC-10_DEUDAS'!R95-'FC-10_DEUDAS'!S95,2)=0,"Ok","Mal, revisa datos, fila inicial 95 en FC-10")</f>
        <v>Ok</v>
      </c>
      <c r="I90" s="395"/>
      <c r="J90" s="391"/>
      <c r="K90" s="391"/>
      <c r="L90" s="373"/>
      <c r="M90" s="373"/>
      <c r="N90" s="373"/>
      <c r="O90" s="391"/>
      <c r="P90" s="391"/>
      <c r="Q90" s="391"/>
      <c r="R90" s="391"/>
      <c r="S90" s="391"/>
      <c r="T90" s="391"/>
      <c r="U90" s="391"/>
      <c r="V90" s="391"/>
      <c r="W90" s="391"/>
    </row>
    <row r="91" spans="1:23" s="199" customFormat="1" ht="30" customHeight="1" thickBot="1">
      <c r="A91" s="391"/>
      <c r="B91" s="392"/>
      <c r="C91" s="819" t="s">
        <v>187</v>
      </c>
      <c r="D91" s="819"/>
      <c r="E91" s="820"/>
      <c r="F91" s="820"/>
      <c r="G91" s="820"/>
      <c r="H91" s="820"/>
      <c r="I91" s="395"/>
      <c r="J91" s="391"/>
      <c r="K91" s="391"/>
      <c r="L91" s="373"/>
      <c r="M91" s="356"/>
      <c r="N91" s="356"/>
      <c r="O91" s="412"/>
      <c r="P91" s="412"/>
      <c r="Q91" s="412"/>
      <c r="R91" s="412"/>
      <c r="S91" s="412"/>
      <c r="T91" s="412"/>
      <c r="U91" s="412"/>
      <c r="V91" s="412"/>
      <c r="W91" s="412"/>
    </row>
    <row r="92" spans="1:23" s="199" customFormat="1" ht="30" customHeight="1">
      <c r="A92" s="391"/>
      <c r="B92" s="392"/>
      <c r="C92" s="620" t="s">
        <v>188</v>
      </c>
      <c r="D92" s="620"/>
      <c r="E92" s="885"/>
      <c r="F92" s="885"/>
      <c r="G92" s="882" t="str">
        <f ca="1">IF(_GENERAL!D15&lt;&gt;"Administración Pública","No aplica",IF(ROUND('FC-4_PASIVO'!G44-'_FC-16_1_ INF_ADIC_ESTAB_PRESUP'!E19,2)=0,"Ok","Mal, revisa dato en FC-4_PASIVO y FC-16_1"))</f>
        <v>No aplica</v>
      </c>
      <c r="H92" s="882" t="str">
        <f ca="1">IF(_GENERAL!D15&lt;&gt;"Administración Pública","No aplica",IF(ROUND('FC-4_PASIVO'!H44-'_FC-16_1_ INF_ADIC_ESTAB_PRESUP'!J19,2)=0,"Ok","Mal, revisa dato en FC-4_PASIVO y FC-16_1"))</f>
        <v>No aplica</v>
      </c>
      <c r="I92" s="395"/>
      <c r="J92" s="391"/>
      <c r="K92" s="391"/>
      <c r="L92" s="373"/>
      <c r="M92" s="356">
        <f>IF(H98="Ok",0,1)</f>
        <v>0</v>
      </c>
      <c r="N92" s="356">
        <f>SUM(K92:M92)</f>
        <v>0</v>
      </c>
      <c r="O92" s="412"/>
      <c r="P92" s="412"/>
      <c r="Q92" s="412"/>
      <c r="R92" s="412"/>
      <c r="S92" s="412"/>
      <c r="T92" s="412"/>
      <c r="U92" s="412"/>
      <c r="V92" s="412"/>
      <c r="W92" s="412"/>
    </row>
    <row r="93" spans="1:23" s="199" customFormat="1" ht="30" customHeight="1">
      <c r="A93" s="391"/>
      <c r="B93" s="392"/>
      <c r="C93" s="620" t="s">
        <v>189</v>
      </c>
      <c r="D93" s="620"/>
      <c r="E93" s="885"/>
      <c r="F93" s="885"/>
      <c r="G93" s="882" t="str">
        <f ca="1">IF(_GENERAL!D15&lt;&gt;"Administración Pública","No aplica",IF(ROUND('FC-4_PASIVO'!G67-'_FC-16_1_ INF_ADIC_ESTAB_PRESUP'!E28,2)=0,"Ok","Mal, revisa dato en FC-4_PASIVO y FC-16_1"))</f>
        <v>No aplica</v>
      </c>
      <c r="H93" s="882" t="str">
        <f ca="1">IF(_GENERAL!D15&lt;&gt;"Administración Pública","No aplica",IF(ROUND('FC-4_PASIVO'!H67-'_FC-16_1_ INF_ADIC_ESTAB_PRESUP'!J28,2)=0,"Ok","Mal, revisa dato en FC-4_PASIVO y FC-16_1"))</f>
        <v>No aplica</v>
      </c>
      <c r="I93" s="395"/>
      <c r="J93" s="391"/>
      <c r="K93" s="391"/>
      <c r="L93" s="373"/>
      <c r="M93" s="373"/>
      <c r="N93" s="373"/>
      <c r="O93" s="391"/>
      <c r="P93" s="391"/>
      <c r="Q93" s="391"/>
      <c r="R93" s="391"/>
      <c r="S93" s="391"/>
      <c r="T93" s="391"/>
      <c r="U93" s="391"/>
      <c r="V93" s="391"/>
      <c r="W93" s="391"/>
    </row>
    <row r="94" spans="1:23" s="199" customFormat="1" ht="30" customHeight="1" thickBot="1">
      <c r="A94" s="391"/>
      <c r="B94" s="392"/>
      <c r="C94" s="819" t="s">
        <v>190</v>
      </c>
      <c r="D94" s="819"/>
      <c r="E94" s="820"/>
      <c r="F94" s="820"/>
      <c r="G94" s="820"/>
      <c r="H94" s="820"/>
      <c r="I94" s="395"/>
      <c r="J94" s="391"/>
      <c r="K94" s="391"/>
      <c r="L94" s="373"/>
      <c r="M94" s="412"/>
      <c r="N94" s="412"/>
      <c r="O94" s="412"/>
      <c r="P94" s="412"/>
      <c r="Q94" s="412"/>
      <c r="R94" s="412"/>
      <c r="S94" s="412"/>
      <c r="T94" s="412"/>
      <c r="U94" s="412"/>
      <c r="V94" s="412"/>
      <c r="W94" s="412"/>
    </row>
    <row r="95" spans="1:23" s="199" customFormat="1" ht="30" customHeight="1">
      <c r="A95" s="391"/>
      <c r="B95" s="392"/>
      <c r="C95" s="620" t="s">
        <v>191</v>
      </c>
      <c r="D95" s="620"/>
      <c r="E95" s="885"/>
      <c r="F95" s="885"/>
      <c r="G95" s="885"/>
      <c r="H95" s="882" t="str">
        <f>IF(ROUND('FC-9_TRANS_SUBV'!N41-'_FC-17_FINANCIACIÓN'!E28,2)=0,"Ok","Mal, revisa dato en FC-9 y FC-17")</f>
        <v>Ok</v>
      </c>
      <c r="I95" s="395"/>
      <c r="J95" s="391"/>
      <c r="K95" s="412"/>
      <c r="L95" s="412"/>
      <c r="M95" s="412"/>
      <c r="N95" s="412"/>
      <c r="O95" s="412"/>
      <c r="P95" s="412"/>
      <c r="Q95" s="412"/>
      <c r="R95" s="412"/>
      <c r="S95" s="412"/>
      <c r="T95" s="412"/>
      <c r="U95" s="412"/>
      <c r="V95" s="412"/>
      <c r="W95" s="412"/>
    </row>
    <row r="96" spans="1:23" s="199" customFormat="1" ht="30" customHeight="1">
      <c r="A96" s="391"/>
      <c r="B96" s="392"/>
      <c r="C96" s="805" t="s">
        <v>192</v>
      </c>
      <c r="D96" s="805"/>
      <c r="E96" s="887"/>
      <c r="F96" s="887"/>
      <c r="G96" s="887"/>
      <c r="H96" s="882" t="str">
        <f>IF(ROUND('FC-9_TRANS_SUBV'!J74-'_FC-17_FINANCIACIÓN'!E24,2)=0,"Ok","Mal, revisa dato en FC-9 y FC-17")</f>
        <v>Ok</v>
      </c>
      <c r="I96" s="395"/>
      <c r="J96" s="391"/>
      <c r="K96" s="391"/>
      <c r="L96" s="373"/>
      <c r="M96" s="373"/>
      <c r="N96" s="373"/>
      <c r="O96" s="391"/>
      <c r="P96" s="391"/>
      <c r="Q96" s="391"/>
      <c r="R96" s="391"/>
      <c r="S96" s="391"/>
      <c r="T96" s="391"/>
      <c r="U96" s="391"/>
      <c r="V96" s="391"/>
      <c r="W96" s="391"/>
    </row>
    <row r="97" spans="1:23" ht="30" customHeight="1" thickBot="1">
      <c r="A97" s="412"/>
      <c r="B97" s="392"/>
      <c r="C97" s="819" t="s">
        <v>193</v>
      </c>
      <c r="D97" s="819"/>
      <c r="E97" s="820"/>
      <c r="F97" s="820"/>
      <c r="G97" s="820"/>
      <c r="H97" s="820"/>
      <c r="I97" s="395"/>
      <c r="J97" s="412"/>
      <c r="K97" s="412"/>
      <c r="L97" s="412"/>
      <c r="M97" s="412"/>
      <c r="N97" s="412"/>
      <c r="O97" s="412"/>
      <c r="P97" s="412"/>
      <c r="Q97" s="412"/>
      <c r="R97" s="412"/>
      <c r="S97" s="23"/>
      <c r="T97" s="23"/>
      <c r="U97" s="23"/>
      <c r="V97" s="23"/>
      <c r="W97" s="23"/>
    </row>
    <row r="98" spans="1:23" ht="23.1" customHeight="1">
      <c r="A98" s="412"/>
      <c r="B98" s="874"/>
      <c r="C98" s="411" t="s">
        <v>194</v>
      </c>
      <c r="D98" s="411"/>
      <c r="E98" s="888"/>
      <c r="F98" s="888"/>
      <c r="G98" s="888"/>
      <c r="H98" s="882" t="str">
        <f>IF(ROUND('FC-3_CPyG'!H101-'_FC-90_DETALLE'!E173,2)=0,"Ok","Mal, revisa resultado en F-3 y FC-92")</f>
        <v>Ok</v>
      </c>
      <c r="I98" s="875"/>
      <c r="J98" s="412"/>
      <c r="K98" s="412"/>
      <c r="L98" s="412"/>
      <c r="M98" s="412"/>
      <c r="N98" s="412"/>
      <c r="O98" s="412"/>
      <c r="P98" s="412"/>
      <c r="Q98" s="412"/>
      <c r="R98" s="412"/>
      <c r="S98" s="23"/>
      <c r="T98" s="23"/>
      <c r="U98" s="23"/>
      <c r="V98" s="23"/>
      <c r="W98" s="23"/>
    </row>
    <row r="99" spans="1:23" ht="23.1" customHeight="1" thickBot="1">
      <c r="A99" s="412"/>
      <c r="B99" s="879"/>
      <c r="C99" s="880"/>
      <c r="D99" s="880"/>
      <c r="E99" s="880"/>
      <c r="F99" s="880"/>
      <c r="G99" s="889"/>
      <c r="H99" s="889"/>
      <c r="I99" s="881"/>
      <c r="J99" s="412"/>
      <c r="K99" s="412"/>
      <c r="L99" s="23"/>
      <c r="M99" s="23"/>
      <c r="N99" s="23"/>
      <c r="O99" s="23"/>
      <c r="P99" s="23"/>
      <c r="Q99" s="23"/>
      <c r="R99" s="23"/>
      <c r="S99" s="23"/>
      <c r="T99" s="23"/>
      <c r="U99" s="23"/>
      <c r="V99" s="23"/>
      <c r="W99" s="23"/>
    </row>
    <row r="100" spans="1:23" s="23" customFormat="1" ht="15">
      <c r="B100" s="412"/>
      <c r="C100" s="412"/>
      <c r="D100" s="412"/>
      <c r="E100" s="412"/>
      <c r="F100" s="412"/>
      <c r="G100" s="890"/>
      <c r="H100" s="412"/>
      <c r="I100" s="412"/>
      <c r="J100" s="412"/>
      <c r="K100" s="412"/>
    </row>
    <row r="101" spans="1:23" s="23" customFormat="1" ht="15">
      <c r="C101" s="19" t="s">
        <v>98</v>
      </c>
      <c r="G101" s="24"/>
      <c r="H101" s="22"/>
      <c r="J101" s="412"/>
      <c r="K101" s="412"/>
      <c r="L101" s="412"/>
      <c r="M101" s="412"/>
      <c r="N101" s="412"/>
      <c r="O101" s="412"/>
      <c r="P101" s="412"/>
      <c r="Q101" s="412"/>
      <c r="R101" s="412"/>
      <c r="S101" s="412"/>
      <c r="T101" s="412"/>
      <c r="U101" s="412"/>
      <c r="V101" s="412"/>
      <c r="W101" s="412"/>
    </row>
    <row r="102" spans="1:23" s="23" customFormat="1" ht="15">
      <c r="C102" s="19" t="s">
        <v>100</v>
      </c>
      <c r="G102" s="24"/>
      <c r="J102" s="412"/>
      <c r="K102" s="412"/>
      <c r="L102" s="412"/>
      <c r="M102" s="412"/>
      <c r="N102" s="412"/>
      <c r="O102" s="412"/>
      <c r="P102" s="412"/>
      <c r="Q102" s="412"/>
      <c r="R102" s="412"/>
      <c r="S102" s="412"/>
      <c r="T102" s="412"/>
      <c r="U102" s="412"/>
      <c r="V102" s="412"/>
      <c r="W102" s="412"/>
    </row>
    <row r="103" spans="1:23" s="23" customFormat="1" ht="15">
      <c r="C103" s="19" t="s">
        <v>101</v>
      </c>
      <c r="G103" s="24"/>
      <c r="J103" s="412"/>
      <c r="K103" s="412"/>
      <c r="L103" s="412"/>
      <c r="M103" s="412"/>
      <c r="N103" s="412"/>
      <c r="O103" s="412"/>
      <c r="P103" s="412"/>
      <c r="Q103" s="412"/>
      <c r="R103" s="412"/>
      <c r="S103" s="412"/>
      <c r="T103" s="412"/>
      <c r="U103" s="412"/>
      <c r="V103" s="412"/>
      <c r="W103" s="412"/>
    </row>
    <row r="104" spans="1:23" s="23" customFormat="1" ht="15">
      <c r="C104" s="19" t="s">
        <v>102</v>
      </c>
      <c r="G104" s="24"/>
      <c r="J104" s="412"/>
      <c r="K104" s="412"/>
      <c r="L104" s="412"/>
      <c r="M104" s="412"/>
      <c r="N104" s="412"/>
      <c r="O104" s="412"/>
      <c r="P104" s="412"/>
      <c r="Q104" s="412"/>
      <c r="R104" s="412"/>
      <c r="S104" s="412"/>
      <c r="T104" s="412"/>
      <c r="U104" s="412"/>
      <c r="V104" s="412"/>
      <c r="W104" s="412"/>
    </row>
    <row r="105" spans="1:23" ht="23.1" customHeight="1">
      <c r="A105" s="412"/>
      <c r="B105" s="23"/>
      <c r="C105" s="19" t="s">
        <v>103</v>
      </c>
      <c r="D105" s="23"/>
      <c r="E105" s="23"/>
      <c r="F105" s="23"/>
      <c r="G105" s="24"/>
      <c r="H105" s="23"/>
      <c r="I105" s="23"/>
      <c r="J105" s="412"/>
      <c r="K105" s="412"/>
      <c r="L105" s="412"/>
      <c r="M105" s="412"/>
      <c r="N105" s="412"/>
      <c r="O105" s="412"/>
      <c r="P105" s="412"/>
      <c r="Q105" s="412"/>
      <c r="R105" s="412"/>
      <c r="S105" s="412"/>
      <c r="T105" s="412"/>
      <c r="U105" s="412"/>
      <c r="V105" s="412"/>
      <c r="W105" s="412"/>
    </row>
    <row r="106" spans="1:23" ht="23.1" customHeight="1">
      <c r="A106" s="412"/>
      <c r="B106" s="412"/>
      <c r="C106" s="412"/>
      <c r="D106" s="412"/>
      <c r="E106" s="412"/>
      <c r="F106" s="412"/>
      <c r="G106" s="890"/>
      <c r="H106" s="412"/>
      <c r="I106" s="412"/>
      <c r="J106" s="412"/>
      <c r="K106" s="412"/>
      <c r="L106" s="412"/>
      <c r="M106" s="412"/>
      <c r="N106" s="412"/>
      <c r="O106" s="412"/>
      <c r="P106" s="412"/>
      <c r="Q106" s="412"/>
      <c r="R106" s="412"/>
      <c r="S106" s="412"/>
      <c r="T106" s="412"/>
      <c r="U106" s="412"/>
      <c r="V106" s="412"/>
      <c r="W106" s="412"/>
    </row>
    <row r="107" spans="1:23" ht="23.1" customHeight="1">
      <c r="A107" s="412"/>
      <c r="B107" s="412"/>
      <c r="C107" s="412"/>
      <c r="D107" s="412"/>
      <c r="E107" s="412"/>
      <c r="F107" s="412"/>
      <c r="G107" s="890"/>
      <c r="H107" s="412"/>
      <c r="I107" s="412"/>
      <c r="J107" s="412"/>
      <c r="K107" s="412"/>
      <c r="L107" s="412"/>
      <c r="M107" s="412"/>
      <c r="N107" s="412"/>
      <c r="O107" s="412"/>
      <c r="P107" s="412"/>
      <c r="Q107" s="412"/>
      <c r="R107" s="412"/>
      <c r="S107" s="412"/>
      <c r="T107" s="412"/>
      <c r="U107" s="412"/>
      <c r="V107" s="412"/>
      <c r="W107" s="412"/>
    </row>
    <row r="108" spans="1:23" ht="23.1" customHeight="1">
      <c r="A108" s="412"/>
      <c r="B108" s="412"/>
      <c r="C108" s="412"/>
      <c r="D108" s="412"/>
      <c r="E108" s="412"/>
      <c r="F108" s="412"/>
      <c r="G108" s="890"/>
      <c r="H108" s="412"/>
      <c r="I108" s="412"/>
      <c r="J108" s="412"/>
      <c r="K108" s="412"/>
      <c r="L108" s="412"/>
      <c r="M108" s="412"/>
      <c r="N108" s="412"/>
      <c r="O108" s="412"/>
      <c r="P108" s="412"/>
      <c r="Q108" s="412"/>
      <c r="R108" s="412"/>
      <c r="S108" s="412"/>
      <c r="T108" s="412"/>
      <c r="U108" s="412"/>
      <c r="V108" s="412"/>
      <c r="W108" s="412"/>
    </row>
    <row r="109" spans="1:23" ht="23.1" customHeight="1">
      <c r="A109" s="412"/>
      <c r="B109" s="412"/>
      <c r="C109" s="412"/>
      <c r="D109" s="412"/>
      <c r="E109" s="412"/>
      <c r="F109" s="412"/>
      <c r="G109" s="890"/>
      <c r="H109" s="412"/>
      <c r="I109" s="412"/>
      <c r="J109" s="412"/>
      <c r="K109" s="412"/>
      <c r="L109" s="412"/>
      <c r="M109" s="412"/>
      <c r="N109" s="412"/>
      <c r="O109" s="412"/>
      <c r="P109" s="412"/>
      <c r="Q109" s="412"/>
      <c r="R109" s="412"/>
      <c r="S109" s="412"/>
      <c r="T109" s="412"/>
      <c r="U109" s="412"/>
      <c r="V109" s="412"/>
      <c r="W109" s="412"/>
    </row>
    <row r="110" spans="1:23" ht="23.1" customHeight="1">
      <c r="A110" s="412"/>
      <c r="B110" s="412"/>
      <c r="C110" s="412"/>
      <c r="D110" s="412"/>
      <c r="E110" s="412"/>
      <c r="F110" s="412"/>
      <c r="G110" s="890"/>
      <c r="H110" s="412"/>
      <c r="I110" s="412"/>
      <c r="J110" s="412"/>
      <c r="K110" s="412"/>
      <c r="L110" s="412"/>
      <c r="M110" s="412"/>
      <c r="N110" s="412"/>
      <c r="O110" s="412"/>
      <c r="P110" s="412"/>
      <c r="Q110" s="412"/>
      <c r="R110" s="412"/>
      <c r="S110" s="412"/>
      <c r="T110" s="412"/>
      <c r="U110" s="412"/>
      <c r="V110" s="412"/>
      <c r="W110" s="412"/>
    </row>
    <row r="111" spans="1:23" ht="23.1" customHeight="1">
      <c r="A111" s="412"/>
      <c r="B111" s="412"/>
      <c r="C111" s="412"/>
      <c r="D111" s="412"/>
      <c r="E111" s="412"/>
      <c r="F111" s="412"/>
      <c r="G111" s="890"/>
      <c r="H111" s="412"/>
      <c r="I111" s="412"/>
      <c r="J111" s="412"/>
      <c r="K111" s="412"/>
      <c r="L111" s="412"/>
      <c r="M111" s="412"/>
      <c r="N111" s="412"/>
      <c r="O111" s="412"/>
      <c r="P111" s="412"/>
      <c r="Q111" s="412"/>
      <c r="R111" s="412"/>
      <c r="S111" s="412"/>
      <c r="T111" s="412"/>
      <c r="U111" s="412"/>
      <c r="V111" s="412"/>
      <c r="W111" s="412"/>
    </row>
    <row r="112" spans="1:23" ht="23.1" customHeight="1">
      <c r="A112" s="412"/>
      <c r="B112" s="412"/>
      <c r="C112" s="412"/>
      <c r="D112" s="412"/>
      <c r="E112" s="412"/>
      <c r="F112" s="412"/>
      <c r="G112" s="890"/>
      <c r="H112" s="412"/>
      <c r="I112" s="412"/>
      <c r="J112" s="412"/>
      <c r="K112" s="412"/>
      <c r="L112" s="412"/>
      <c r="M112" s="412"/>
      <c r="N112" s="412"/>
      <c r="O112" s="412"/>
      <c r="P112" s="412"/>
      <c r="Q112" s="412"/>
      <c r="R112" s="412"/>
      <c r="S112" s="412"/>
      <c r="T112" s="412"/>
      <c r="U112" s="412"/>
      <c r="V112" s="412"/>
      <c r="W112" s="412"/>
    </row>
    <row r="135" spans="11:11" ht="23.1" customHeight="1">
      <c r="K135" s="373"/>
    </row>
    <row r="136" spans="11:11" ht="23.1" customHeight="1">
      <c r="K136" s="373"/>
    </row>
    <row r="137" spans="11:11" ht="23.1" customHeight="1">
      <c r="K137" s="373"/>
    </row>
    <row r="138" spans="11:11" ht="23.1" customHeight="1">
      <c r="K138" s="373"/>
    </row>
    <row r="139" spans="11:11" ht="23.1" customHeight="1">
      <c r="K139" s="373"/>
    </row>
    <row r="140" spans="11:11" ht="23.1" customHeight="1">
      <c r="K140" s="373"/>
    </row>
    <row r="141" spans="11:11" ht="23.1" customHeight="1">
      <c r="K141" s="373"/>
    </row>
    <row r="142" spans="11:11" ht="23.1" customHeight="1">
      <c r="K142" s="373"/>
    </row>
    <row r="143" spans="11:11" ht="23.1" customHeight="1">
      <c r="K143" s="373"/>
    </row>
  </sheetData>
  <sheetProtection sheet="1" objects="1" scenarios="1"/>
  <mergeCells count="7">
    <mergeCell ref="H6:H7"/>
    <mergeCell ref="D9:H9"/>
    <mergeCell ref="G81:G82"/>
    <mergeCell ref="G83:G84"/>
    <mergeCell ref="G85:G86"/>
    <mergeCell ref="G72:G73"/>
    <mergeCell ref="G79:G80"/>
  </mergeCells>
  <phoneticPr fontId="5" type="noConversion"/>
  <conditionalFormatting sqref="E28:G28">
    <cfRule type="cellIs" dxfId="42" priority="37" operator="notEqual">
      <formula>"Ok"</formula>
    </cfRule>
    <cfRule type="containsText" dxfId="41" priority="38" operator="containsText" text="Ok">
      <formula>NOT(ISERROR(SEARCH("Ok",E28)))</formula>
    </cfRule>
  </conditionalFormatting>
  <conditionalFormatting sqref="E37:H38">
    <cfRule type="cellIs" dxfId="40" priority="35" operator="notEqual">
      <formula>"Ok"</formula>
    </cfRule>
    <cfRule type="containsText" dxfId="39" priority="36" operator="containsText" text="Ok">
      <formula>NOT(ISERROR(SEARCH("Ok",E37)))</formula>
    </cfRule>
  </conditionalFormatting>
  <conditionalFormatting sqref="G53:G57">
    <cfRule type="cellIs" dxfId="38" priority="23" operator="notEqual">
      <formula>"Ok"</formula>
    </cfRule>
    <cfRule type="containsText" dxfId="37" priority="24" operator="containsText" text="Ok">
      <formula>NOT(ISERROR(SEARCH("Ok",G53)))</formula>
    </cfRule>
  </conditionalFormatting>
  <conditionalFormatting sqref="G79">
    <cfRule type="cellIs" dxfId="36" priority="17" operator="notEqual">
      <formula>"Ok"</formula>
    </cfRule>
    <cfRule type="containsText" dxfId="35" priority="18" operator="containsText" text="Ok">
      <formula>NOT(ISERROR(SEARCH("Ok",G79)))</formula>
    </cfRule>
  </conditionalFormatting>
  <conditionalFormatting sqref="G81">
    <cfRule type="cellIs" dxfId="34" priority="15" operator="notEqual">
      <formula>"Ok"</formula>
    </cfRule>
    <cfRule type="containsText" dxfId="33" priority="16" operator="containsText" text="Ok">
      <formula>NOT(ISERROR(SEARCH("Ok",G81)))</formula>
    </cfRule>
  </conditionalFormatting>
  <conditionalFormatting sqref="G83">
    <cfRule type="cellIs" dxfId="32" priority="13" operator="notEqual">
      <formula>"Ok"</formula>
    </cfRule>
    <cfRule type="containsText" dxfId="31" priority="14" operator="containsText" text="Ok">
      <formula>NOT(ISERROR(SEARCH("Ok",G83)))</formula>
    </cfRule>
  </conditionalFormatting>
  <conditionalFormatting sqref="G85">
    <cfRule type="cellIs" dxfId="30" priority="11" operator="notEqual">
      <formula>"Ok"</formula>
    </cfRule>
    <cfRule type="containsText" dxfId="29" priority="12" operator="containsText" text="Ok">
      <formula>NOT(ISERROR(SEARCH("Ok",G85)))</formula>
    </cfRule>
  </conditionalFormatting>
  <conditionalFormatting sqref="G39:H48">
    <cfRule type="cellIs" dxfId="28" priority="1" operator="notEqual">
      <formula>"Ok"</formula>
    </cfRule>
    <cfRule type="containsText" dxfId="27" priority="2" operator="containsText" text="Ok">
      <formula>NOT(ISERROR(SEARCH("Ok",G39)))</formula>
    </cfRule>
  </conditionalFormatting>
  <conditionalFormatting sqref="G50:H50">
    <cfRule type="cellIs" dxfId="26" priority="27" operator="notEqual">
      <formula>"Ok"</formula>
    </cfRule>
    <cfRule type="containsText" dxfId="25" priority="28" operator="containsText" text="Ok">
      <formula>NOT(ISERROR(SEARCH("Ok",G50)))</formula>
    </cfRule>
  </conditionalFormatting>
  <conditionalFormatting sqref="G60:H63">
    <cfRule type="cellIs" dxfId="24" priority="21" operator="notEqual">
      <formula>"Ok"</formula>
    </cfRule>
    <cfRule type="containsText" dxfId="23" priority="22" operator="containsText" text="Ok">
      <formula>NOT(ISERROR(SEARCH("Ok",G60)))</formula>
    </cfRule>
  </conditionalFormatting>
  <conditionalFormatting sqref="G65:H69 H70 G71:H72 H73:H77">
    <cfRule type="cellIs" dxfId="22" priority="19" operator="notEqual">
      <formula>"Ok"</formula>
    </cfRule>
    <cfRule type="containsText" dxfId="21" priority="20" operator="containsText" text="Ok">
      <formula>NOT(ISERROR(SEARCH("Ok",G65)))</formula>
    </cfRule>
  </conditionalFormatting>
  <conditionalFormatting sqref="G92:H93">
    <cfRule type="cellIs" dxfId="20" priority="7" operator="notEqual">
      <formula>"Ok"</formula>
    </cfRule>
    <cfRule type="containsText" dxfId="19" priority="8" operator="containsText" text="Ok">
      <formula>NOT(ISERROR(SEARCH("Ok",G92)))</formula>
    </cfRule>
  </conditionalFormatting>
  <conditionalFormatting sqref="H16:H21 E50">
    <cfRule type="cellIs" dxfId="18" priority="29" operator="notEqual">
      <formula>"Ok"</formula>
    </cfRule>
    <cfRule type="containsText" dxfId="17" priority="30" operator="containsText" text="Ok">
      <formula>NOT(ISERROR(SEARCH("Ok",E16)))</formula>
    </cfRule>
  </conditionalFormatting>
  <conditionalFormatting sqref="H23:H25">
    <cfRule type="cellIs" dxfId="16" priority="45" operator="notEqual">
      <formula>"Ok"</formula>
    </cfRule>
    <cfRule type="containsText" dxfId="15" priority="46" operator="containsText" text="Ok">
      <formula>NOT(ISERROR(SEARCH("Ok",H23)))</formula>
    </cfRule>
  </conditionalFormatting>
  <conditionalFormatting sqref="H27:H35">
    <cfRule type="cellIs" dxfId="14" priority="43" operator="notEqual">
      <formula>"Ok"</formula>
    </cfRule>
    <cfRule type="containsText" dxfId="13" priority="44" operator="containsText" text="Ok">
      <formula>NOT(ISERROR(SEARCH("Ok",H27)))</formula>
    </cfRule>
  </conditionalFormatting>
  <conditionalFormatting sqref="H52:H58">
    <cfRule type="cellIs" dxfId="12" priority="25" operator="notEqual">
      <formula>"Ok"</formula>
    </cfRule>
    <cfRule type="containsText" dxfId="11" priority="26" operator="containsText" text="Ok">
      <formula>NOT(ISERROR(SEARCH("Ok",H52)))</formula>
    </cfRule>
  </conditionalFormatting>
  <conditionalFormatting sqref="H79:H90">
    <cfRule type="cellIs" dxfId="10" priority="9" operator="notEqual">
      <formula>"Ok"</formula>
    </cfRule>
    <cfRule type="containsText" dxfId="9" priority="10" operator="containsText" text="Ok">
      <formula>NOT(ISERROR(SEARCH("Ok",H79)))</formula>
    </cfRule>
  </conditionalFormatting>
  <conditionalFormatting sqref="H95:H96">
    <cfRule type="cellIs" dxfId="8" priority="5" operator="notEqual">
      <formula>"Ok"</formula>
    </cfRule>
    <cfRule type="containsText" dxfId="7" priority="6" operator="containsText" text="Ok">
      <formula>NOT(ISERROR(SEARCH("Ok",H95)))</formula>
    </cfRule>
  </conditionalFormatting>
  <conditionalFormatting sqref="H98">
    <cfRule type="cellIs" dxfId="6" priority="3" operator="notEqual">
      <formula>"Ok"</formula>
    </cfRule>
    <cfRule type="containsText" dxfId="5" priority="4" operator="containsText" text="Ok">
      <formula>NOT(ISERROR(SEARCH("Ok",H98)))</formula>
    </cfRule>
  </conditionalFormatting>
  <printOptions horizontalCentered="1" verticalCentered="1"/>
  <pageMargins left="0.35629921259842523" right="0.35629921259842523" top="0.60629921259842523" bottom="0.60629921259842523" header="0.5" footer="0.5"/>
  <pageSetup paperSize="9" scale="18" orientation="landscape" horizontalDpi="4294967292" verticalDpi="4294967292" r:id="rId1"/>
  <drawing r:id="rId2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42D1A49-1C5C-49B0-9D9E-9DDCF18C26D3}">
  <sheetPr codeName="Hoja19">
    <pageSetUpPr fitToPage="1"/>
  </sheetPr>
  <dimension ref="A2:X179"/>
  <sheetViews>
    <sheetView topLeftCell="A27" zoomScale="104" zoomScaleNormal="100" workbookViewId="0">
      <selection activeCell="H36" sqref="H36"/>
    </sheetView>
  </sheetViews>
  <sheetFormatPr baseColWidth="10" defaultColWidth="10.6640625" defaultRowHeight="23.1" customHeight="1"/>
  <cols>
    <col min="1" max="1" width="4.109375" style="65" bestFit="1" customWidth="1"/>
    <col min="2" max="2" width="3.109375" style="65" customWidth="1"/>
    <col min="3" max="3" width="13.5546875" style="65" customWidth="1"/>
    <col min="4" max="4" width="53.33203125" style="65" customWidth="1"/>
    <col min="5" max="5" width="21.88671875" style="65" customWidth="1"/>
    <col min="6" max="6" width="23" style="66" customWidth="1"/>
    <col min="7" max="7" width="22.6640625" style="66" customWidth="1"/>
    <col min="8" max="8" width="21.44140625" style="66" customWidth="1"/>
    <col min="9" max="9" width="3.33203125" style="65" customWidth="1"/>
    <col min="10" max="16384" width="10.6640625" style="65"/>
  </cols>
  <sheetData>
    <row r="2" spans="1:24" ht="23.1" customHeight="1">
      <c r="D2" s="598" t="s">
        <v>1102</v>
      </c>
      <c r="E2" s="598"/>
    </row>
    <row r="3" spans="1:24" ht="23.1" customHeight="1">
      <c r="D3" s="598" t="s">
        <v>1</v>
      </c>
      <c r="E3" s="598"/>
    </row>
    <row r="4" spans="1:24" ht="23.1" customHeight="1" thickBot="1">
      <c r="A4" s="65" t="s">
        <v>195</v>
      </c>
    </row>
    <row r="5" spans="1:24" ht="9" customHeight="1">
      <c r="B5" s="67"/>
      <c r="C5" s="68"/>
      <c r="D5" s="68"/>
      <c r="E5" s="68"/>
      <c r="F5" s="69"/>
      <c r="G5" s="69"/>
      <c r="H5" s="69"/>
      <c r="I5" s="70"/>
      <c r="K5" s="746"/>
      <c r="L5" s="747"/>
      <c r="M5" s="747"/>
      <c r="N5" s="747"/>
      <c r="O5" s="747"/>
      <c r="P5" s="747"/>
      <c r="Q5" s="747"/>
      <c r="R5" s="747"/>
      <c r="S5" s="747"/>
      <c r="T5" s="747"/>
      <c r="U5" s="747"/>
      <c r="V5" s="747"/>
      <c r="W5" s="747"/>
      <c r="X5" s="744"/>
    </row>
    <row r="6" spans="1:24" ht="30" customHeight="1">
      <c r="B6" s="71"/>
      <c r="C6" s="40" t="s">
        <v>2</v>
      </c>
      <c r="H6" s="1212">
        <f>ejercicio</f>
        <v>2025</v>
      </c>
      <c r="I6" s="72"/>
      <c r="K6" s="754"/>
      <c r="L6" s="755" t="s">
        <v>196</v>
      </c>
      <c r="M6" s="756"/>
      <c r="N6" s="756"/>
      <c r="O6" s="756"/>
      <c r="P6" s="756"/>
      <c r="Q6" s="756"/>
      <c r="R6" s="756"/>
      <c r="S6" s="756"/>
      <c r="T6" s="756"/>
      <c r="U6" s="756"/>
      <c r="V6" s="756"/>
      <c r="W6" s="756"/>
      <c r="X6" s="255"/>
    </row>
    <row r="7" spans="1:24" ht="30" customHeight="1">
      <c r="B7" s="71"/>
      <c r="C7" s="40" t="s">
        <v>3</v>
      </c>
      <c r="H7" s="1212"/>
      <c r="I7" s="72"/>
      <c r="K7" s="771"/>
      <c r="L7" s="772"/>
      <c r="M7" s="772"/>
      <c r="N7" s="772"/>
      <c r="O7" s="772"/>
      <c r="P7" s="772"/>
      <c r="Q7" s="772"/>
      <c r="R7" s="772"/>
      <c r="S7" s="772"/>
      <c r="T7" s="772"/>
      <c r="U7" s="772"/>
      <c r="V7" s="772"/>
      <c r="W7" s="772"/>
      <c r="X7" s="773"/>
    </row>
    <row r="8" spans="1:24" ht="30" customHeight="1">
      <c r="B8" s="71"/>
      <c r="C8" s="73"/>
      <c r="H8" s="74"/>
      <c r="I8" s="72"/>
      <c r="K8" s="771"/>
      <c r="L8" s="772"/>
      <c r="M8" s="772"/>
      <c r="N8" s="772"/>
      <c r="O8" s="772"/>
      <c r="P8" s="772"/>
      <c r="Q8" s="772"/>
      <c r="R8" s="772"/>
      <c r="S8" s="772"/>
      <c r="T8" s="772"/>
      <c r="U8" s="772"/>
      <c r="V8" s="772"/>
      <c r="W8" s="772"/>
      <c r="X8" s="773"/>
    </row>
    <row r="9" spans="1:24" s="128" customFormat="1" ht="30" customHeight="1">
      <c r="A9" s="877"/>
      <c r="B9" s="905"/>
      <c r="C9" s="21" t="s">
        <v>105</v>
      </c>
      <c r="D9" s="1229" t="str">
        <f>Entidad</f>
        <v>(MERCATENERIFE) Mercados Centrales de Abastecimiento de Tenerife, S.A.</v>
      </c>
      <c r="E9" s="1229"/>
      <c r="F9" s="1229"/>
      <c r="G9" s="1229"/>
      <c r="H9" s="1229"/>
      <c r="I9" s="904"/>
      <c r="J9" s="877"/>
      <c r="K9" s="771"/>
      <c r="L9" s="772"/>
      <c r="M9" s="772"/>
      <c r="N9" s="772"/>
      <c r="O9" s="772"/>
      <c r="P9" s="772"/>
      <c r="Q9" s="772"/>
      <c r="R9" s="772"/>
      <c r="S9" s="772"/>
      <c r="T9" s="772"/>
      <c r="U9" s="772"/>
      <c r="V9" s="772"/>
      <c r="W9" s="772"/>
      <c r="X9" s="773"/>
    </row>
    <row r="10" spans="1:24" ht="6.95" customHeight="1">
      <c r="B10" s="71"/>
      <c r="I10" s="72"/>
      <c r="K10" s="771"/>
      <c r="L10" s="772"/>
      <c r="M10" s="772"/>
      <c r="N10" s="772"/>
      <c r="O10" s="772"/>
      <c r="P10" s="772"/>
      <c r="Q10" s="772"/>
      <c r="R10" s="772"/>
      <c r="S10" s="772"/>
      <c r="T10" s="772"/>
      <c r="U10" s="772"/>
      <c r="V10" s="772"/>
      <c r="W10" s="772"/>
      <c r="X10" s="773"/>
    </row>
    <row r="11" spans="1:24" s="79" customFormat="1" ht="30" customHeight="1">
      <c r="B11" s="75"/>
      <c r="C11" s="76" t="s">
        <v>1103</v>
      </c>
      <c r="D11" s="76"/>
      <c r="E11" s="76"/>
      <c r="F11" s="77"/>
      <c r="G11" s="77"/>
      <c r="H11" s="77"/>
      <c r="I11" s="78"/>
      <c r="K11" s="771"/>
      <c r="L11" s="772"/>
      <c r="M11" s="772"/>
      <c r="N11" s="772"/>
      <c r="O11" s="772"/>
      <c r="P11" s="772"/>
      <c r="Q11" s="772"/>
      <c r="R11" s="772"/>
      <c r="S11" s="772"/>
      <c r="T11" s="772"/>
      <c r="U11" s="772"/>
      <c r="V11" s="772"/>
      <c r="W11" s="772"/>
      <c r="X11" s="773"/>
    </row>
    <row r="12" spans="1:24" s="79" customFormat="1" ht="18" customHeight="1">
      <c r="B12" s="75"/>
      <c r="C12" s="1237"/>
      <c r="D12" s="1237"/>
      <c r="E12" s="906"/>
      <c r="F12" s="64"/>
      <c r="G12" s="64"/>
      <c r="H12" s="64"/>
      <c r="I12" s="78"/>
      <c r="K12" s="771"/>
      <c r="L12" s="772"/>
      <c r="M12" s="772"/>
      <c r="N12" s="772"/>
      <c r="O12" s="772"/>
      <c r="P12" s="772"/>
      <c r="Q12" s="772"/>
      <c r="R12" s="772"/>
      <c r="S12" s="772"/>
      <c r="T12" s="772"/>
      <c r="U12" s="772"/>
      <c r="V12" s="772"/>
      <c r="W12" s="772"/>
      <c r="X12" s="773"/>
    </row>
    <row r="13" spans="1:24" ht="29.1" customHeight="1">
      <c r="B13" s="80"/>
      <c r="C13" s="1455" t="s">
        <v>1104</v>
      </c>
      <c r="D13" s="1456"/>
      <c r="E13" s="1456"/>
      <c r="F13" s="1456"/>
      <c r="G13" s="1456"/>
      <c r="H13" s="1457"/>
      <c r="I13" s="72"/>
      <c r="K13" s="771"/>
      <c r="L13" s="772"/>
      <c r="M13" s="772"/>
      <c r="N13" s="772"/>
      <c r="O13" s="772"/>
      <c r="P13" s="772"/>
      <c r="Q13" s="772"/>
      <c r="R13" s="772"/>
      <c r="S13" s="772"/>
      <c r="T13" s="772"/>
      <c r="U13" s="772"/>
      <c r="V13" s="772"/>
      <c r="W13" s="772"/>
      <c r="X13" s="773"/>
    </row>
    <row r="14" spans="1:24" ht="9" customHeight="1">
      <c r="B14" s="80"/>
      <c r="C14" s="906"/>
      <c r="D14" s="906"/>
      <c r="E14" s="906"/>
      <c r="F14" s="64"/>
      <c r="G14" s="64"/>
      <c r="H14" s="64"/>
      <c r="I14" s="72"/>
      <c r="K14" s="771"/>
      <c r="L14" s="772"/>
      <c r="M14" s="772"/>
      <c r="N14" s="772"/>
      <c r="O14" s="772"/>
      <c r="P14" s="772"/>
      <c r="Q14" s="772"/>
      <c r="R14" s="772"/>
      <c r="S14" s="772"/>
      <c r="T14" s="772"/>
      <c r="U14" s="772"/>
      <c r="V14" s="772"/>
      <c r="W14" s="772"/>
      <c r="X14" s="773"/>
    </row>
    <row r="15" spans="1:24" s="149" customFormat="1" ht="24" customHeight="1">
      <c r="A15" s="597"/>
      <c r="B15" s="1064"/>
      <c r="C15" s="1353" t="s">
        <v>851</v>
      </c>
      <c r="D15" s="1355"/>
      <c r="E15" s="186" t="s">
        <v>1105</v>
      </c>
      <c r="F15" s="177" t="s">
        <v>1106</v>
      </c>
      <c r="G15" s="177" t="s">
        <v>1107</v>
      </c>
      <c r="H15" s="643" t="s">
        <v>1108</v>
      </c>
      <c r="I15" s="1065"/>
      <c r="J15" s="597"/>
      <c r="K15" s="771"/>
      <c r="L15" s="772"/>
      <c r="M15" s="772"/>
      <c r="N15" s="772"/>
      <c r="O15" s="772"/>
      <c r="P15" s="772"/>
      <c r="Q15" s="772"/>
      <c r="R15" s="772"/>
      <c r="S15" s="772"/>
      <c r="T15" s="772"/>
      <c r="U15" s="772"/>
      <c r="V15" s="772"/>
      <c r="W15" s="772"/>
      <c r="X15" s="773"/>
    </row>
    <row r="16" spans="1:24" s="17" customFormat="1" ht="23.1" customHeight="1">
      <c r="B16" s="80"/>
      <c r="C16" s="1458" t="s">
        <v>1109</v>
      </c>
      <c r="D16" s="1459"/>
      <c r="E16" s="661"/>
      <c r="F16" s="177"/>
      <c r="G16" s="177"/>
      <c r="H16" s="643"/>
      <c r="I16" s="81"/>
      <c r="K16" s="771"/>
      <c r="L16" s="772"/>
      <c r="M16" s="772"/>
      <c r="N16" s="772"/>
      <c r="O16" s="772"/>
      <c r="P16" s="772"/>
      <c r="Q16" s="772"/>
      <c r="R16" s="772"/>
      <c r="S16" s="772"/>
      <c r="T16" s="772"/>
      <c r="U16" s="772"/>
      <c r="V16" s="772"/>
      <c r="W16" s="772"/>
      <c r="X16" s="773"/>
    </row>
    <row r="17" spans="1:24" s="677" customFormat="1" ht="23.1" customHeight="1">
      <c r="A17" s="17"/>
      <c r="B17" s="80"/>
      <c r="C17" s="685" t="s">
        <v>1110</v>
      </c>
      <c r="D17" s="690"/>
      <c r="E17" s="676" t="s">
        <v>15</v>
      </c>
      <c r="F17" s="699"/>
      <c r="G17" s="813"/>
      <c r="H17" s="814"/>
      <c r="I17" s="678"/>
      <c r="K17" s="771"/>
      <c r="L17" s="772"/>
      <c r="M17" s="772"/>
      <c r="N17" s="772"/>
      <c r="O17" s="772"/>
      <c r="P17" s="772"/>
      <c r="Q17" s="772"/>
      <c r="R17" s="772"/>
      <c r="S17" s="772"/>
      <c r="T17" s="772"/>
      <c r="U17" s="772"/>
      <c r="V17" s="772"/>
      <c r="W17" s="772"/>
      <c r="X17" s="773"/>
    </row>
    <row r="18" spans="1:24" s="677" customFormat="1" ht="23.1" customHeight="1">
      <c r="A18" s="17"/>
      <c r="B18" s="80"/>
      <c r="C18" s="687" t="s">
        <v>1111</v>
      </c>
      <c r="D18" s="644"/>
      <c r="E18" s="676" t="s">
        <v>15</v>
      </c>
      <c r="F18" s="699"/>
      <c r="G18" s="815"/>
      <c r="H18" s="816"/>
      <c r="I18" s="678"/>
      <c r="K18" s="771"/>
      <c r="L18" s="772"/>
      <c r="M18" s="772"/>
      <c r="N18" s="772"/>
      <c r="O18" s="772"/>
      <c r="P18" s="772"/>
      <c r="Q18" s="772"/>
      <c r="R18" s="772"/>
      <c r="S18" s="772"/>
      <c r="T18" s="772"/>
      <c r="U18" s="772"/>
      <c r="V18" s="772"/>
      <c r="W18" s="772"/>
      <c r="X18" s="773"/>
    </row>
    <row r="19" spans="1:24" s="17" customFormat="1" ht="23.1" customHeight="1">
      <c r="B19" s="80"/>
      <c r="C19" s="686" t="s">
        <v>1112</v>
      </c>
      <c r="D19" s="644"/>
      <c r="E19" s="676" t="s">
        <v>15</v>
      </c>
      <c r="F19" s="699"/>
      <c r="G19" s="815"/>
      <c r="H19" s="816"/>
      <c r="I19" s="81"/>
      <c r="K19" s="771"/>
      <c r="L19" s="772"/>
      <c r="M19" s="772"/>
      <c r="N19" s="772"/>
      <c r="O19" s="772"/>
      <c r="P19" s="772"/>
      <c r="Q19" s="772"/>
      <c r="R19" s="772"/>
      <c r="S19" s="772"/>
      <c r="T19" s="772"/>
      <c r="U19" s="772"/>
      <c r="V19" s="772"/>
      <c r="W19" s="772"/>
      <c r="X19" s="773"/>
    </row>
    <row r="20" spans="1:24" s="17" customFormat="1" ht="23.1" customHeight="1">
      <c r="B20" s="80"/>
      <c r="C20" s="686" t="s">
        <v>1113</v>
      </c>
      <c r="D20" s="644"/>
      <c r="E20" s="676" t="s">
        <v>15</v>
      </c>
      <c r="F20" s="699"/>
      <c r="G20" s="815"/>
      <c r="H20" s="816"/>
      <c r="I20" s="81"/>
      <c r="K20" s="771"/>
      <c r="L20" s="772"/>
      <c r="M20" s="772"/>
      <c r="N20" s="772"/>
      <c r="O20" s="772"/>
      <c r="P20" s="772"/>
      <c r="Q20" s="772"/>
      <c r="R20" s="772"/>
      <c r="S20" s="772"/>
      <c r="T20" s="772"/>
      <c r="U20" s="772"/>
      <c r="V20" s="772"/>
      <c r="W20" s="772"/>
      <c r="X20" s="773"/>
    </row>
    <row r="21" spans="1:24" s="17" customFormat="1" ht="23.1" customHeight="1">
      <c r="B21" s="80"/>
      <c r="C21" s="691" t="s">
        <v>1114</v>
      </c>
      <c r="D21" s="644"/>
      <c r="E21" s="676" t="s">
        <v>15</v>
      </c>
      <c r="F21" s="699"/>
      <c r="G21" s="815"/>
      <c r="H21" s="816"/>
      <c r="I21" s="81"/>
      <c r="K21" s="771"/>
      <c r="L21" s="772"/>
      <c r="M21" s="772"/>
      <c r="N21" s="772"/>
      <c r="O21" s="772"/>
      <c r="P21" s="772"/>
      <c r="Q21" s="772"/>
      <c r="R21" s="772"/>
      <c r="S21" s="772"/>
      <c r="T21" s="772"/>
      <c r="U21" s="772"/>
      <c r="V21" s="772"/>
      <c r="W21" s="772"/>
      <c r="X21" s="773"/>
    </row>
    <row r="22" spans="1:24" s="17" customFormat="1" ht="23.1" customHeight="1">
      <c r="B22" s="80"/>
      <c r="C22" s="691" t="s">
        <v>1115</v>
      </c>
      <c r="D22" s="644"/>
      <c r="E22" s="676" t="s">
        <v>15</v>
      </c>
      <c r="F22" s="699"/>
      <c r="G22" s="815"/>
      <c r="H22" s="816"/>
      <c r="I22" s="81"/>
      <c r="K22" s="771"/>
      <c r="L22" s="772"/>
      <c r="M22" s="772"/>
      <c r="N22" s="772"/>
      <c r="O22" s="772"/>
      <c r="P22" s="772"/>
      <c r="Q22" s="772"/>
      <c r="R22" s="772"/>
      <c r="S22" s="772"/>
      <c r="T22" s="772"/>
      <c r="U22" s="772"/>
      <c r="V22" s="772"/>
      <c r="W22" s="772"/>
      <c r="X22" s="773"/>
    </row>
    <row r="23" spans="1:24" s="17" customFormat="1" ht="23.1" customHeight="1">
      <c r="B23" s="80"/>
      <c r="C23" s="691" t="s">
        <v>1116</v>
      </c>
      <c r="D23" s="644"/>
      <c r="E23" s="676" t="s">
        <v>21</v>
      </c>
      <c r="F23" s="699"/>
      <c r="G23" s="815"/>
      <c r="H23" s="816"/>
      <c r="I23" s="81"/>
      <c r="K23" s="771"/>
      <c r="L23" s="772"/>
      <c r="M23" s="772"/>
      <c r="N23" s="772"/>
      <c r="O23" s="772"/>
      <c r="P23" s="772"/>
      <c r="Q23" s="772"/>
      <c r="R23" s="772"/>
      <c r="S23" s="772"/>
      <c r="T23" s="772"/>
      <c r="U23" s="772"/>
      <c r="V23" s="772"/>
      <c r="W23" s="772"/>
      <c r="X23" s="773"/>
    </row>
    <row r="24" spans="1:24" s="17" customFormat="1" ht="23.1" customHeight="1">
      <c r="B24" s="80"/>
      <c r="C24" s="691" t="s">
        <v>24</v>
      </c>
      <c r="D24" s="644"/>
      <c r="E24" s="676" t="s">
        <v>21</v>
      </c>
      <c r="F24" s="699"/>
      <c r="G24" s="815"/>
      <c r="H24" s="816"/>
      <c r="I24" s="81"/>
      <c r="K24" s="771"/>
      <c r="L24" s="772"/>
      <c r="M24" s="772"/>
      <c r="N24" s="772"/>
      <c r="O24" s="772"/>
      <c r="P24" s="772"/>
      <c r="Q24" s="772"/>
      <c r="R24" s="772"/>
      <c r="S24" s="772"/>
      <c r="T24" s="772"/>
      <c r="U24" s="772"/>
      <c r="V24" s="772"/>
      <c r="W24" s="772"/>
      <c r="X24" s="773"/>
    </row>
    <row r="25" spans="1:24" s="17" customFormat="1" ht="23.1" customHeight="1">
      <c r="B25" s="80"/>
      <c r="C25" s="691" t="s">
        <v>27</v>
      </c>
      <c r="D25" s="644"/>
      <c r="E25" s="676" t="s">
        <v>21</v>
      </c>
      <c r="F25" s="699"/>
      <c r="G25" s="815"/>
      <c r="H25" s="816"/>
      <c r="I25" s="81"/>
      <c r="K25" s="771"/>
      <c r="L25" s="772"/>
      <c r="M25" s="772"/>
      <c r="N25" s="772"/>
      <c r="O25" s="772"/>
      <c r="P25" s="772"/>
      <c r="Q25" s="772"/>
      <c r="R25" s="772"/>
      <c r="S25" s="772"/>
      <c r="T25" s="772"/>
      <c r="U25" s="772"/>
      <c r="V25" s="772"/>
      <c r="W25" s="772"/>
      <c r="X25" s="773"/>
    </row>
    <row r="26" spans="1:24" s="17" customFormat="1" ht="23.1" customHeight="1">
      <c r="B26" s="80"/>
      <c r="C26" s="691" t="s">
        <v>1117</v>
      </c>
      <c r="D26" s="644"/>
      <c r="E26" s="676" t="s">
        <v>21</v>
      </c>
      <c r="F26" s="699"/>
      <c r="G26" s="815"/>
      <c r="H26" s="816"/>
      <c r="I26" s="81"/>
      <c r="K26" s="771"/>
      <c r="L26" s="772"/>
      <c r="M26" s="772"/>
      <c r="N26" s="772"/>
      <c r="O26" s="772"/>
      <c r="P26" s="772"/>
      <c r="Q26" s="772"/>
      <c r="R26" s="772"/>
      <c r="S26" s="772"/>
      <c r="T26" s="772"/>
      <c r="U26" s="772"/>
      <c r="V26" s="772"/>
      <c r="W26" s="772"/>
      <c r="X26" s="773"/>
    </row>
    <row r="27" spans="1:24" s="17" customFormat="1" ht="23.1" customHeight="1">
      <c r="B27" s="80"/>
      <c r="C27" s="691" t="s">
        <v>32</v>
      </c>
      <c r="D27" s="644"/>
      <c r="E27" s="676" t="s">
        <v>21</v>
      </c>
      <c r="F27" s="699"/>
      <c r="G27" s="815"/>
      <c r="H27" s="816"/>
      <c r="I27" s="81"/>
      <c r="K27" s="771"/>
      <c r="L27" s="772"/>
      <c r="M27" s="772"/>
      <c r="N27" s="772"/>
      <c r="O27" s="772"/>
      <c r="P27" s="772"/>
      <c r="Q27" s="772"/>
      <c r="R27" s="772"/>
      <c r="S27" s="772"/>
      <c r="T27" s="772"/>
      <c r="U27" s="772"/>
      <c r="V27" s="772"/>
      <c r="W27" s="772"/>
      <c r="X27" s="773"/>
    </row>
    <row r="28" spans="1:24" s="17" customFormat="1" ht="23.1" customHeight="1">
      <c r="B28" s="80"/>
      <c r="C28" s="691" t="s">
        <v>1118</v>
      </c>
      <c r="D28" s="644"/>
      <c r="E28" s="676" t="s">
        <v>21</v>
      </c>
      <c r="F28" s="699"/>
      <c r="G28" s="815"/>
      <c r="H28" s="816"/>
      <c r="I28" s="81"/>
      <c r="K28" s="771"/>
      <c r="L28" s="772"/>
      <c r="M28" s="772"/>
      <c r="N28" s="772"/>
      <c r="O28" s="772"/>
      <c r="P28" s="772"/>
      <c r="Q28" s="772"/>
      <c r="R28" s="772"/>
      <c r="S28" s="772"/>
      <c r="T28" s="772"/>
      <c r="U28" s="772"/>
      <c r="V28" s="772"/>
      <c r="W28" s="772"/>
      <c r="X28" s="773"/>
    </row>
    <row r="29" spans="1:24" s="17" customFormat="1" ht="23.1" customHeight="1">
      <c r="B29" s="80"/>
      <c r="C29" s="691" t="s">
        <v>41</v>
      </c>
      <c r="D29" s="644"/>
      <c r="E29" s="676" t="s">
        <v>15</v>
      </c>
      <c r="F29" s="699"/>
      <c r="G29" s="815"/>
      <c r="H29" s="816"/>
      <c r="I29" s="81"/>
      <c r="K29" s="771"/>
      <c r="L29" s="772"/>
      <c r="M29" s="772"/>
      <c r="N29" s="772"/>
      <c r="O29" s="772"/>
      <c r="P29" s="772"/>
      <c r="Q29" s="772"/>
      <c r="R29" s="772"/>
      <c r="S29" s="772"/>
      <c r="T29" s="772"/>
      <c r="U29" s="772"/>
      <c r="V29" s="772"/>
      <c r="W29" s="772"/>
      <c r="X29" s="773"/>
    </row>
    <row r="30" spans="1:24" s="17" customFormat="1" ht="23.1" customHeight="1">
      <c r="B30" s="80"/>
      <c r="C30" s="691" t="s">
        <v>1119</v>
      </c>
      <c r="D30" s="644"/>
      <c r="E30" s="676" t="s">
        <v>15</v>
      </c>
      <c r="F30" s="699"/>
      <c r="G30" s="815"/>
      <c r="H30" s="816"/>
      <c r="I30" s="81"/>
      <c r="K30" s="771"/>
      <c r="L30" s="772"/>
      <c r="M30" s="772"/>
      <c r="N30" s="772"/>
      <c r="O30" s="772"/>
      <c r="P30" s="772"/>
      <c r="Q30" s="772"/>
      <c r="R30" s="772"/>
      <c r="S30" s="772"/>
      <c r="T30" s="772"/>
      <c r="U30" s="772"/>
      <c r="V30" s="772"/>
      <c r="W30" s="772"/>
      <c r="X30" s="773"/>
    </row>
    <row r="31" spans="1:24" s="17" customFormat="1" ht="23.1" customHeight="1">
      <c r="B31" s="80"/>
      <c r="C31" s="691" t="s">
        <v>47</v>
      </c>
      <c r="D31" s="644"/>
      <c r="E31" s="676" t="s">
        <v>15</v>
      </c>
      <c r="F31" s="699"/>
      <c r="G31" s="699"/>
      <c r="H31" s="699"/>
      <c r="I31" s="81"/>
      <c r="K31" s="771"/>
      <c r="L31" s="772"/>
      <c r="M31" s="772"/>
      <c r="N31" s="772"/>
      <c r="O31" s="772"/>
      <c r="P31" s="772"/>
      <c r="Q31" s="772"/>
      <c r="R31" s="772"/>
      <c r="S31" s="772"/>
      <c r="T31" s="772"/>
      <c r="U31" s="772"/>
      <c r="V31" s="772"/>
      <c r="W31" s="772"/>
      <c r="X31" s="773"/>
    </row>
    <row r="32" spans="1:24" s="17" customFormat="1" ht="23.1" customHeight="1">
      <c r="B32" s="80"/>
      <c r="C32" s="691" t="s">
        <v>1120</v>
      </c>
      <c r="D32" s="644"/>
      <c r="E32" s="676" t="s">
        <v>15</v>
      </c>
      <c r="F32" s="699"/>
      <c r="G32" s="699"/>
      <c r="H32" s="699"/>
      <c r="I32" s="81"/>
      <c r="K32" s="771"/>
      <c r="L32" s="772"/>
      <c r="M32" s="772"/>
      <c r="N32" s="772"/>
      <c r="O32" s="772"/>
      <c r="P32" s="772"/>
      <c r="Q32" s="772"/>
      <c r="R32" s="772"/>
      <c r="S32" s="772"/>
      <c r="T32" s="772"/>
      <c r="U32" s="772"/>
      <c r="V32" s="772"/>
      <c r="W32" s="772"/>
      <c r="X32" s="773"/>
    </row>
    <row r="33" spans="2:24" s="17" customFormat="1" ht="23.1" customHeight="1">
      <c r="B33" s="80"/>
      <c r="C33" s="691" t="s">
        <v>1121</v>
      </c>
      <c r="D33" s="644"/>
      <c r="E33" s="676" t="s">
        <v>15</v>
      </c>
      <c r="F33" s="699"/>
      <c r="G33" s="699"/>
      <c r="H33" s="699"/>
      <c r="I33" s="81"/>
      <c r="K33" s="771"/>
      <c r="L33" s="772"/>
      <c r="M33" s="772"/>
      <c r="N33" s="772"/>
      <c r="O33" s="772"/>
      <c r="P33" s="772"/>
      <c r="Q33" s="772"/>
      <c r="R33" s="772"/>
      <c r="S33" s="772"/>
      <c r="T33" s="772"/>
      <c r="U33" s="772"/>
      <c r="V33" s="772"/>
      <c r="W33" s="772"/>
      <c r="X33" s="773"/>
    </row>
    <row r="34" spans="2:24" s="17" customFormat="1" ht="23.1" customHeight="1">
      <c r="B34" s="80"/>
      <c r="C34" s="691" t="s">
        <v>1122</v>
      </c>
      <c r="D34" s="644"/>
      <c r="E34" s="676" t="s">
        <v>15</v>
      </c>
      <c r="F34" s="699"/>
      <c r="G34" s="815"/>
      <c r="H34" s="816"/>
      <c r="I34" s="81"/>
      <c r="K34" s="771"/>
      <c r="L34" s="772"/>
      <c r="M34" s="772"/>
      <c r="N34" s="772"/>
      <c r="O34" s="772"/>
      <c r="P34" s="772"/>
      <c r="Q34" s="772"/>
      <c r="R34" s="772"/>
      <c r="S34" s="772"/>
      <c r="T34" s="772"/>
      <c r="U34" s="772"/>
      <c r="V34" s="772"/>
      <c r="W34" s="772"/>
      <c r="X34" s="773"/>
    </row>
    <row r="35" spans="2:24" s="17" customFormat="1" ht="23.1" customHeight="1">
      <c r="B35" s="80"/>
      <c r="C35" s="1458" t="s">
        <v>1123</v>
      </c>
      <c r="D35" s="1459"/>
      <c r="E35" s="661"/>
      <c r="F35" s="704"/>
      <c r="G35" s="701"/>
      <c r="H35" s="702"/>
      <c r="I35" s="81"/>
      <c r="K35" s="771"/>
      <c r="L35" s="772"/>
      <c r="M35" s="772"/>
      <c r="N35" s="772"/>
      <c r="O35" s="772"/>
      <c r="P35" s="772"/>
      <c r="Q35" s="772"/>
      <c r="R35" s="772"/>
      <c r="S35" s="772"/>
      <c r="T35" s="772"/>
      <c r="U35" s="772"/>
      <c r="V35" s="772"/>
      <c r="W35" s="772"/>
      <c r="X35" s="773"/>
    </row>
    <row r="36" spans="2:24" s="17" customFormat="1" ht="23.1" customHeight="1">
      <c r="B36" s="80"/>
      <c r="C36" s="691" t="s">
        <v>1124</v>
      </c>
      <c r="D36" s="644"/>
      <c r="E36" s="676" t="s">
        <v>21</v>
      </c>
      <c r="F36" s="699" t="s">
        <v>1125</v>
      </c>
      <c r="G36" s="813">
        <v>7579.76</v>
      </c>
      <c r="H36" s="814"/>
      <c r="I36" s="81"/>
      <c r="K36" s="771"/>
      <c r="L36" s="772"/>
      <c r="M36" s="772"/>
      <c r="N36" s="772"/>
      <c r="O36" s="772"/>
      <c r="P36" s="772"/>
      <c r="Q36" s="772"/>
      <c r="R36" s="772"/>
      <c r="S36" s="772"/>
      <c r="T36" s="772"/>
      <c r="U36" s="772"/>
      <c r="V36" s="772"/>
      <c r="W36" s="772"/>
      <c r="X36" s="773"/>
    </row>
    <row r="37" spans="2:24" s="17" customFormat="1" ht="23.1" customHeight="1">
      <c r="B37" s="80"/>
      <c r="C37" s="691" t="s">
        <v>1126</v>
      </c>
      <c r="D37" s="644"/>
      <c r="E37" s="676" t="s">
        <v>21</v>
      </c>
      <c r="F37" s="699"/>
      <c r="G37" s="815"/>
      <c r="H37" s="816"/>
      <c r="I37" s="81"/>
      <c r="K37" s="771"/>
      <c r="L37" s="772"/>
      <c r="M37" s="772"/>
      <c r="N37" s="772"/>
      <c r="O37" s="772"/>
      <c r="P37" s="772"/>
      <c r="Q37" s="772"/>
      <c r="R37" s="772"/>
      <c r="S37" s="772"/>
      <c r="T37" s="772"/>
      <c r="U37" s="772"/>
      <c r="V37" s="772"/>
      <c r="W37" s="772"/>
      <c r="X37" s="773"/>
    </row>
    <row r="38" spans="2:24" s="17" customFormat="1" ht="23.1" customHeight="1">
      <c r="B38" s="80"/>
      <c r="C38" s="691" t="s">
        <v>1127</v>
      </c>
      <c r="D38" s="644"/>
      <c r="E38" s="676" t="s">
        <v>15</v>
      </c>
      <c r="F38" s="699"/>
      <c r="G38" s="815"/>
      <c r="H38" s="816"/>
      <c r="I38" s="81"/>
      <c r="K38" s="771"/>
      <c r="L38" s="772"/>
      <c r="M38" s="772"/>
      <c r="N38" s="772"/>
      <c r="O38" s="772"/>
      <c r="P38" s="772"/>
      <c r="Q38" s="772"/>
      <c r="R38" s="772"/>
      <c r="S38" s="772"/>
      <c r="T38" s="772"/>
      <c r="U38" s="772"/>
      <c r="V38" s="772"/>
      <c r="W38" s="772"/>
      <c r="X38" s="773"/>
    </row>
    <row r="39" spans="2:24" s="17" customFormat="1" ht="23.1" customHeight="1">
      <c r="B39" s="80"/>
      <c r="C39" s="691" t="s">
        <v>1128</v>
      </c>
      <c r="D39" s="644"/>
      <c r="E39" s="676" t="s">
        <v>21</v>
      </c>
      <c r="F39" s="699"/>
      <c r="G39" s="815"/>
      <c r="H39" s="816"/>
      <c r="I39" s="81"/>
      <c r="K39" s="771"/>
      <c r="L39" s="772"/>
      <c r="M39" s="772"/>
      <c r="N39" s="772"/>
      <c r="O39" s="772"/>
      <c r="P39" s="772"/>
      <c r="Q39" s="772"/>
      <c r="R39" s="772"/>
      <c r="S39" s="772"/>
      <c r="T39" s="772"/>
      <c r="U39" s="772"/>
      <c r="V39" s="772"/>
      <c r="W39" s="772"/>
      <c r="X39" s="773"/>
    </row>
    <row r="40" spans="2:24" s="17" customFormat="1" ht="23.1" customHeight="1">
      <c r="B40" s="80"/>
      <c r="C40" s="691" t="s">
        <v>1129</v>
      </c>
      <c r="D40" s="644"/>
      <c r="E40" s="676" t="s">
        <v>15</v>
      </c>
      <c r="F40" s="699"/>
      <c r="G40" s="815"/>
      <c r="H40" s="816"/>
      <c r="I40" s="81"/>
      <c r="K40" s="771"/>
      <c r="L40" s="772"/>
      <c r="M40" s="772"/>
      <c r="N40" s="772"/>
      <c r="O40" s="772"/>
      <c r="P40" s="772"/>
      <c r="Q40" s="772"/>
      <c r="R40" s="772"/>
      <c r="S40" s="772"/>
      <c r="T40" s="772"/>
      <c r="U40" s="772"/>
      <c r="V40" s="772"/>
      <c r="W40" s="772"/>
      <c r="X40" s="773"/>
    </row>
    <row r="41" spans="2:24" s="17" customFormat="1" ht="23.1" customHeight="1">
      <c r="B41" s="80"/>
      <c r="C41" s="691" t="s">
        <v>1130</v>
      </c>
      <c r="D41" s="644"/>
      <c r="E41" s="676" t="s">
        <v>21</v>
      </c>
      <c r="F41" s="699"/>
      <c r="G41" s="815"/>
      <c r="H41" s="816"/>
      <c r="I41" s="81"/>
      <c r="K41" s="771"/>
      <c r="L41" s="772"/>
      <c r="M41" s="772"/>
      <c r="N41" s="772"/>
      <c r="O41" s="772"/>
      <c r="P41" s="772"/>
      <c r="Q41" s="772"/>
      <c r="R41" s="772"/>
      <c r="S41" s="772"/>
      <c r="T41" s="772"/>
      <c r="U41" s="772"/>
      <c r="V41" s="772"/>
      <c r="W41" s="772"/>
      <c r="X41" s="773"/>
    </row>
    <row r="42" spans="2:24" s="17" customFormat="1" ht="23.1" customHeight="1">
      <c r="B42" s="80"/>
      <c r="C42" s="691" t="s">
        <v>1131</v>
      </c>
      <c r="D42" s="644"/>
      <c r="E42" s="676" t="s">
        <v>15</v>
      </c>
      <c r="F42" s="699"/>
      <c r="G42" s="815"/>
      <c r="H42" s="816"/>
      <c r="I42" s="81"/>
      <c r="K42" s="771"/>
      <c r="L42" s="772"/>
      <c r="M42" s="772"/>
      <c r="N42" s="772"/>
      <c r="O42" s="772"/>
      <c r="P42" s="772"/>
      <c r="Q42" s="772"/>
      <c r="R42" s="772"/>
      <c r="S42" s="772"/>
      <c r="T42" s="772"/>
      <c r="U42" s="772"/>
      <c r="V42" s="772"/>
      <c r="W42" s="772"/>
      <c r="X42" s="773"/>
    </row>
    <row r="43" spans="2:24" s="17" customFormat="1" ht="23.1" customHeight="1">
      <c r="B43" s="80"/>
      <c r="C43" s="691" t="s">
        <v>74</v>
      </c>
      <c r="D43" s="644"/>
      <c r="E43" s="676" t="s">
        <v>15</v>
      </c>
      <c r="F43" s="699"/>
      <c r="G43" s="815"/>
      <c r="H43" s="816"/>
      <c r="I43" s="81"/>
      <c r="K43" s="771"/>
      <c r="L43" s="772"/>
      <c r="M43" s="772"/>
      <c r="N43" s="772"/>
      <c r="O43" s="772"/>
      <c r="P43" s="772"/>
      <c r="Q43" s="772"/>
      <c r="R43" s="772"/>
      <c r="S43" s="772"/>
      <c r="T43" s="772"/>
      <c r="U43" s="772"/>
      <c r="V43" s="772"/>
      <c r="W43" s="772"/>
      <c r="X43" s="773"/>
    </row>
    <row r="44" spans="2:24" s="17" customFormat="1" ht="23.1" customHeight="1">
      <c r="B44" s="80"/>
      <c r="C44" s="692" t="s">
        <v>1132</v>
      </c>
      <c r="D44" s="679"/>
      <c r="E44" s="680" t="s">
        <v>21</v>
      </c>
      <c r="F44" s="699"/>
      <c r="G44" s="699"/>
      <c r="H44" s="699"/>
      <c r="I44" s="81"/>
      <c r="K44" s="771"/>
      <c r="L44" s="772"/>
      <c r="M44" s="772"/>
      <c r="N44" s="772"/>
      <c r="O44" s="772"/>
      <c r="P44" s="772"/>
      <c r="Q44" s="772"/>
      <c r="R44" s="772"/>
      <c r="S44" s="772"/>
      <c r="T44" s="772"/>
      <c r="U44" s="772"/>
      <c r="V44" s="772"/>
      <c r="W44" s="772"/>
      <c r="X44" s="773"/>
    </row>
    <row r="45" spans="2:24" s="17" customFormat="1" ht="23.1" customHeight="1">
      <c r="B45" s="80"/>
      <c r="C45" s="691" t="s">
        <v>1133</v>
      </c>
      <c r="D45" s="644"/>
      <c r="E45" s="676" t="s">
        <v>15</v>
      </c>
      <c r="F45" s="699" t="s">
        <v>1134</v>
      </c>
      <c r="G45" s="699"/>
      <c r="H45" s="699">
        <v>4808.1000000000004</v>
      </c>
      <c r="I45" s="81"/>
      <c r="K45" s="771"/>
      <c r="L45" s="772"/>
      <c r="M45" s="772"/>
      <c r="N45" s="772"/>
      <c r="O45" s="772"/>
      <c r="P45" s="772"/>
      <c r="Q45" s="772"/>
      <c r="R45" s="772"/>
      <c r="S45" s="772"/>
      <c r="T45" s="772"/>
      <c r="U45" s="772"/>
      <c r="V45" s="772"/>
      <c r="W45" s="772"/>
      <c r="X45" s="773"/>
    </row>
    <row r="46" spans="2:24" s="17" customFormat="1" ht="23.1" customHeight="1">
      <c r="B46" s="80"/>
      <c r="C46" s="691" t="s">
        <v>1135</v>
      </c>
      <c r="D46" s="644"/>
      <c r="E46" s="676" t="s">
        <v>15</v>
      </c>
      <c r="F46" s="699"/>
      <c r="G46" s="699"/>
      <c r="H46" s="699"/>
      <c r="I46" s="81"/>
      <c r="K46" s="771"/>
      <c r="L46" s="772"/>
      <c r="M46" s="772"/>
      <c r="N46" s="772"/>
      <c r="O46" s="772"/>
      <c r="P46" s="772"/>
      <c r="Q46" s="772"/>
      <c r="R46" s="772"/>
      <c r="S46" s="772"/>
      <c r="T46" s="772"/>
      <c r="U46" s="772"/>
      <c r="V46" s="772"/>
      <c r="W46" s="772"/>
      <c r="X46" s="773"/>
    </row>
    <row r="47" spans="2:24" s="17" customFormat="1" ht="23.1" customHeight="1">
      <c r="B47" s="80"/>
      <c r="C47" s="1458" t="s">
        <v>1136</v>
      </c>
      <c r="D47" s="1459"/>
      <c r="E47" s="661"/>
      <c r="F47" s="704"/>
      <c r="G47" s="701"/>
      <c r="H47" s="702"/>
      <c r="I47" s="81"/>
      <c r="K47" s="771"/>
      <c r="L47" s="772"/>
      <c r="M47" s="772"/>
      <c r="N47" s="772"/>
      <c r="O47" s="772"/>
      <c r="P47" s="772"/>
      <c r="Q47" s="772"/>
      <c r="R47" s="772"/>
      <c r="S47" s="772"/>
      <c r="T47" s="772"/>
      <c r="U47" s="772"/>
      <c r="V47" s="772"/>
      <c r="W47" s="772"/>
      <c r="X47" s="773"/>
    </row>
    <row r="48" spans="2:24" s="17" customFormat="1" ht="23.1" customHeight="1">
      <c r="B48" s="80"/>
      <c r="C48" s="691" t="s">
        <v>1137</v>
      </c>
      <c r="D48" s="644"/>
      <c r="E48" s="676" t="s">
        <v>21</v>
      </c>
      <c r="F48" s="699"/>
      <c r="G48" s="815"/>
      <c r="H48" s="816"/>
      <c r="I48" s="81"/>
      <c r="K48" s="771"/>
      <c r="L48" s="772"/>
      <c r="M48" s="772"/>
      <c r="N48" s="772"/>
      <c r="O48" s="772"/>
      <c r="P48" s="772"/>
      <c r="Q48" s="772"/>
      <c r="R48" s="772"/>
      <c r="S48" s="772"/>
      <c r="T48" s="772"/>
      <c r="U48" s="772"/>
      <c r="V48" s="772"/>
      <c r="W48" s="772"/>
      <c r="X48" s="773"/>
    </row>
    <row r="49" spans="1:24" s="17" customFormat="1" ht="23.1" customHeight="1">
      <c r="B49" s="80"/>
      <c r="C49" s="691" t="s">
        <v>1138</v>
      </c>
      <c r="D49" s="644"/>
      <c r="E49" s="676" t="s">
        <v>21</v>
      </c>
      <c r="F49" s="699"/>
      <c r="G49" s="815"/>
      <c r="H49" s="816"/>
      <c r="I49" s="81"/>
      <c r="K49" s="771"/>
      <c r="L49" s="772"/>
      <c r="M49" s="772"/>
      <c r="N49" s="772"/>
      <c r="O49" s="772"/>
      <c r="P49" s="772"/>
      <c r="Q49" s="772"/>
      <c r="R49" s="772"/>
      <c r="S49" s="772"/>
      <c r="T49" s="772"/>
      <c r="U49" s="772"/>
      <c r="V49" s="772"/>
      <c r="W49" s="772"/>
      <c r="X49" s="773"/>
    </row>
    <row r="50" spans="1:24" s="17" customFormat="1" ht="23.1" customHeight="1">
      <c r="B50" s="80"/>
      <c r="C50" s="691" t="s">
        <v>83</v>
      </c>
      <c r="D50" s="644"/>
      <c r="E50" s="676" t="s">
        <v>21</v>
      </c>
      <c r="F50" s="699"/>
      <c r="G50" s="815"/>
      <c r="H50" s="816"/>
      <c r="I50" s="81"/>
      <c r="K50" s="771"/>
      <c r="L50" s="772"/>
      <c r="M50" s="772"/>
      <c r="N50" s="772"/>
      <c r="O50" s="772"/>
      <c r="P50" s="772"/>
      <c r="Q50" s="772"/>
      <c r="R50" s="772"/>
      <c r="S50" s="772"/>
      <c r="T50" s="772"/>
      <c r="U50" s="772"/>
      <c r="V50" s="772"/>
      <c r="W50" s="772"/>
      <c r="X50" s="773"/>
    </row>
    <row r="51" spans="1:24" s="17" customFormat="1" ht="23.1" customHeight="1">
      <c r="B51" s="80"/>
      <c r="C51" s="691" t="s">
        <v>1139</v>
      </c>
      <c r="D51" s="644"/>
      <c r="E51" s="676" t="s">
        <v>21</v>
      </c>
      <c r="F51" s="699"/>
      <c r="G51" s="815"/>
      <c r="H51" s="816"/>
      <c r="I51" s="81"/>
      <c r="K51" s="771"/>
      <c r="L51" s="772"/>
      <c r="M51" s="772"/>
      <c r="N51" s="772"/>
      <c r="O51" s="772"/>
      <c r="P51" s="772"/>
      <c r="Q51" s="772"/>
      <c r="R51" s="772"/>
      <c r="S51" s="772"/>
      <c r="T51" s="772"/>
      <c r="U51" s="772"/>
      <c r="V51" s="772"/>
      <c r="W51" s="772"/>
      <c r="X51" s="773"/>
    </row>
    <row r="52" spans="1:24" s="17" customFormat="1" ht="23.1" customHeight="1">
      <c r="B52" s="80"/>
      <c r="C52" s="691" t="s">
        <v>1140</v>
      </c>
      <c r="D52" s="644"/>
      <c r="E52" s="676" t="s">
        <v>15</v>
      </c>
      <c r="F52" s="699"/>
      <c r="G52" s="815"/>
      <c r="H52" s="816"/>
      <c r="I52" s="81"/>
      <c r="K52" s="771"/>
      <c r="L52" s="772"/>
      <c r="M52" s="772"/>
      <c r="N52" s="772"/>
      <c r="O52" s="772"/>
      <c r="P52" s="772"/>
      <c r="Q52" s="772"/>
      <c r="R52" s="772"/>
      <c r="S52" s="772"/>
      <c r="T52" s="772"/>
      <c r="U52" s="772"/>
      <c r="V52" s="772"/>
      <c r="W52" s="772"/>
      <c r="X52" s="773"/>
    </row>
    <row r="53" spans="1:24" s="17" customFormat="1" ht="23.1" customHeight="1">
      <c r="B53" s="80"/>
      <c r="C53" s="691" t="s">
        <v>1141</v>
      </c>
      <c r="D53" s="644"/>
      <c r="E53" s="676" t="s">
        <v>15</v>
      </c>
      <c r="F53" s="699"/>
      <c r="G53" s="815"/>
      <c r="H53" s="816"/>
      <c r="I53" s="81"/>
      <c r="K53" s="771"/>
      <c r="L53" s="772"/>
      <c r="M53" s="772"/>
      <c r="N53" s="772"/>
      <c r="O53" s="772"/>
      <c r="P53" s="772"/>
      <c r="Q53" s="772"/>
      <c r="R53" s="772"/>
      <c r="S53" s="772"/>
      <c r="T53" s="772"/>
      <c r="U53" s="772"/>
      <c r="V53" s="772"/>
      <c r="W53" s="772"/>
      <c r="X53" s="773"/>
    </row>
    <row r="54" spans="1:24" s="17" customFormat="1" ht="23.1" customHeight="1">
      <c r="B54" s="80"/>
      <c r="C54" s="691" t="s">
        <v>1142</v>
      </c>
      <c r="D54" s="644"/>
      <c r="E54" s="676" t="s">
        <v>15</v>
      </c>
      <c r="F54" s="699"/>
      <c r="G54" s="815"/>
      <c r="H54" s="816"/>
      <c r="I54" s="81"/>
      <c r="K54" s="771"/>
      <c r="L54" s="772"/>
      <c r="M54" s="772"/>
      <c r="N54" s="772"/>
      <c r="O54" s="772"/>
      <c r="P54" s="772"/>
      <c r="Q54" s="772"/>
      <c r="R54" s="772"/>
      <c r="S54" s="772"/>
      <c r="T54" s="772"/>
      <c r="U54" s="772"/>
      <c r="V54" s="772"/>
      <c r="W54" s="772"/>
      <c r="X54" s="773"/>
    </row>
    <row r="55" spans="1:24" s="17" customFormat="1" ht="23.1" customHeight="1">
      <c r="B55" s="80"/>
      <c r="C55" s="691" t="s">
        <v>1143</v>
      </c>
      <c r="D55" s="644"/>
      <c r="E55" s="676" t="s">
        <v>15</v>
      </c>
      <c r="F55" s="699"/>
      <c r="G55" s="815"/>
      <c r="H55" s="816"/>
      <c r="I55" s="81"/>
      <c r="K55" s="771"/>
      <c r="L55" s="772"/>
      <c r="M55" s="772"/>
      <c r="N55" s="772"/>
      <c r="O55" s="772"/>
      <c r="P55" s="772"/>
      <c r="Q55" s="772"/>
      <c r="R55" s="772"/>
      <c r="S55" s="772"/>
      <c r="T55" s="772"/>
      <c r="U55" s="772"/>
      <c r="V55" s="772"/>
      <c r="W55" s="772"/>
      <c r="X55" s="773"/>
    </row>
    <row r="56" spans="1:24" ht="23.1" customHeight="1" thickBot="1">
      <c r="B56" s="905"/>
      <c r="C56" s="1408"/>
      <c r="D56" s="1410"/>
      <c r="E56" s="660"/>
      <c r="F56" s="151" t="s">
        <v>981</v>
      </c>
      <c r="G56" s="119">
        <f>SUM(G17:G55)</f>
        <v>7579.76</v>
      </c>
      <c r="H56" s="119">
        <f>SUM(H17:H55)</f>
        <v>4808.1000000000004</v>
      </c>
      <c r="I56" s="904"/>
      <c r="J56" s="877"/>
      <c r="K56" s="771"/>
      <c r="L56" s="772"/>
      <c r="M56" s="772"/>
      <c r="N56" s="772"/>
      <c r="O56" s="772"/>
      <c r="P56" s="772"/>
      <c r="Q56" s="772"/>
      <c r="R56" s="772"/>
      <c r="S56" s="772"/>
      <c r="T56" s="772"/>
      <c r="U56" s="772"/>
      <c r="V56" s="772"/>
      <c r="W56" s="772"/>
      <c r="X56" s="773"/>
    </row>
    <row r="57" spans="1:24" ht="9" customHeight="1">
      <c r="B57" s="80"/>
      <c r="C57" s="597"/>
      <c r="D57" s="597"/>
      <c r="E57" s="597"/>
      <c r="F57" s="150"/>
      <c r="G57" s="150"/>
      <c r="H57" s="64"/>
      <c r="I57" s="72"/>
      <c r="K57" s="771"/>
      <c r="L57" s="772"/>
      <c r="M57" s="772"/>
      <c r="N57" s="772"/>
      <c r="O57" s="772"/>
      <c r="P57" s="772"/>
      <c r="Q57" s="772"/>
      <c r="R57" s="772"/>
      <c r="S57" s="772"/>
      <c r="T57" s="772"/>
      <c r="U57" s="772"/>
      <c r="V57" s="772"/>
      <c r="W57" s="772"/>
      <c r="X57" s="773"/>
    </row>
    <row r="58" spans="1:24" ht="23.1" customHeight="1">
      <c r="B58" s="80"/>
      <c r="C58" s="1455" t="s">
        <v>1144</v>
      </c>
      <c r="D58" s="1456"/>
      <c r="E58" s="1456"/>
      <c r="F58" s="1456"/>
      <c r="G58" s="1456"/>
      <c r="H58" s="1457"/>
      <c r="I58" s="72"/>
      <c r="K58" s="771"/>
      <c r="L58" s="772"/>
      <c r="M58" s="772"/>
      <c r="N58" s="772"/>
      <c r="O58" s="772"/>
      <c r="P58" s="772"/>
      <c r="Q58" s="772"/>
      <c r="R58" s="772"/>
      <c r="S58" s="772"/>
      <c r="T58" s="772"/>
      <c r="U58" s="772"/>
      <c r="V58" s="772"/>
      <c r="W58" s="772"/>
      <c r="X58" s="773"/>
    </row>
    <row r="59" spans="1:24" ht="23.1" customHeight="1">
      <c r="B59" s="80"/>
      <c r="C59" s="17"/>
      <c r="D59" s="17"/>
      <c r="E59" s="17"/>
      <c r="F59" s="17"/>
      <c r="G59" s="17"/>
      <c r="H59" s="17"/>
      <c r="I59" s="72"/>
      <c r="K59" s="771"/>
      <c r="L59" s="772"/>
      <c r="M59" s="772"/>
      <c r="N59" s="772"/>
      <c r="O59" s="772"/>
      <c r="P59" s="772"/>
      <c r="Q59" s="772"/>
      <c r="R59" s="772"/>
      <c r="S59" s="772"/>
      <c r="T59" s="772"/>
      <c r="U59" s="772"/>
      <c r="V59" s="772"/>
      <c r="W59" s="772"/>
      <c r="X59" s="773"/>
    </row>
    <row r="60" spans="1:24" s="611" customFormat="1" ht="23.1" customHeight="1">
      <c r="A60" s="65"/>
      <c r="B60" s="80"/>
      <c r="C60" s="1353" t="s">
        <v>851</v>
      </c>
      <c r="D60" s="1355"/>
      <c r="E60" s="186" t="s">
        <v>1105</v>
      </c>
      <c r="F60" s="177" t="s">
        <v>1106</v>
      </c>
      <c r="G60" s="177" t="s">
        <v>1145</v>
      </c>
      <c r="H60" s="643" t="s">
        <v>1146</v>
      </c>
      <c r="I60" s="72"/>
      <c r="J60" s="65"/>
      <c r="K60" s="771"/>
      <c r="L60" s="772"/>
      <c r="M60" s="772"/>
      <c r="N60" s="772"/>
      <c r="O60" s="772"/>
      <c r="P60" s="772"/>
      <c r="Q60" s="772"/>
      <c r="R60" s="772"/>
      <c r="S60" s="772"/>
      <c r="T60" s="772"/>
      <c r="U60" s="772"/>
      <c r="V60" s="772"/>
      <c r="W60" s="772"/>
      <c r="X60" s="773"/>
    </row>
    <row r="61" spans="1:24" s="611" customFormat="1" ht="23.1" customHeight="1">
      <c r="A61" s="65"/>
      <c r="B61" s="80"/>
      <c r="C61" s="1458" t="s">
        <v>1109</v>
      </c>
      <c r="D61" s="1459"/>
      <c r="E61" s="661"/>
      <c r="F61" s="177"/>
      <c r="G61" s="177"/>
      <c r="H61" s="643"/>
      <c r="I61" s="72"/>
      <c r="J61" s="65"/>
      <c r="K61" s="771"/>
      <c r="L61" s="772"/>
      <c r="M61" s="772"/>
      <c r="N61" s="772"/>
      <c r="O61" s="772"/>
      <c r="P61" s="772"/>
      <c r="Q61" s="772"/>
      <c r="R61" s="772"/>
      <c r="S61" s="772"/>
      <c r="T61" s="772"/>
      <c r="U61" s="772"/>
      <c r="V61" s="772"/>
      <c r="W61" s="772"/>
      <c r="X61" s="773"/>
    </row>
    <row r="62" spans="1:24" s="611" customFormat="1" ht="23.1" customHeight="1">
      <c r="A62" s="65"/>
      <c r="B62" s="80"/>
      <c r="C62" s="688" t="s">
        <v>1110</v>
      </c>
      <c r="D62" s="693"/>
      <c r="E62" s="694" t="s">
        <v>15</v>
      </c>
      <c r="F62" s="817"/>
      <c r="G62" s="815"/>
      <c r="H62" s="816"/>
      <c r="I62" s="418"/>
      <c r="K62" s="771"/>
      <c r="L62" s="772"/>
      <c r="M62" s="772"/>
      <c r="N62" s="772"/>
      <c r="O62" s="772"/>
      <c r="P62" s="772"/>
      <c r="Q62" s="772"/>
      <c r="R62" s="772"/>
      <c r="S62" s="772"/>
      <c r="T62" s="772"/>
      <c r="U62" s="772"/>
      <c r="V62" s="772"/>
      <c r="W62" s="772"/>
      <c r="X62" s="773"/>
    </row>
    <row r="63" spans="1:24" s="611" customFormat="1" ht="23.1" customHeight="1">
      <c r="A63" s="65"/>
      <c r="B63" s="80"/>
      <c r="C63" s="695" t="s">
        <v>1111</v>
      </c>
      <c r="D63" s="696"/>
      <c r="E63" s="694" t="s">
        <v>15</v>
      </c>
      <c r="F63" s="817"/>
      <c r="G63" s="815"/>
      <c r="H63" s="816"/>
      <c r="I63" s="418"/>
      <c r="K63" s="771"/>
      <c r="L63" s="772"/>
      <c r="M63" s="772"/>
      <c r="N63" s="772"/>
      <c r="O63" s="772"/>
      <c r="P63" s="772"/>
      <c r="Q63" s="772"/>
      <c r="R63" s="772"/>
      <c r="S63" s="772"/>
      <c r="T63" s="772"/>
      <c r="U63" s="772"/>
      <c r="V63" s="772"/>
      <c r="W63" s="772"/>
      <c r="X63" s="773"/>
    </row>
    <row r="64" spans="1:24" s="611" customFormat="1" ht="23.1" customHeight="1">
      <c r="A64" s="65"/>
      <c r="B64" s="80"/>
      <c r="C64" s="695" t="s">
        <v>1112</v>
      </c>
      <c r="D64" s="696"/>
      <c r="E64" s="694" t="s">
        <v>15</v>
      </c>
      <c r="F64" s="817"/>
      <c r="G64" s="815"/>
      <c r="H64" s="816"/>
      <c r="I64" s="418"/>
      <c r="K64" s="771"/>
      <c r="L64" s="772"/>
      <c r="M64" s="772"/>
      <c r="N64" s="772"/>
      <c r="O64" s="772"/>
      <c r="P64" s="772"/>
      <c r="Q64" s="772"/>
      <c r="R64" s="772"/>
      <c r="S64" s="772"/>
      <c r="T64" s="772"/>
      <c r="U64" s="772"/>
      <c r="V64" s="772"/>
      <c r="W64" s="772"/>
      <c r="X64" s="773"/>
    </row>
    <row r="65" spans="1:24" s="611" customFormat="1" ht="23.1" customHeight="1">
      <c r="A65" s="65"/>
      <c r="B65" s="80"/>
      <c r="C65" s="695" t="s">
        <v>1113</v>
      </c>
      <c r="D65" s="696"/>
      <c r="E65" s="694" t="s">
        <v>15</v>
      </c>
      <c r="F65" s="817"/>
      <c r="G65" s="815"/>
      <c r="H65" s="816"/>
      <c r="I65" s="418"/>
      <c r="K65" s="771"/>
      <c r="L65" s="772"/>
      <c r="M65" s="772"/>
      <c r="N65" s="772"/>
      <c r="O65" s="772"/>
      <c r="P65" s="772"/>
      <c r="Q65" s="772"/>
      <c r="R65" s="772"/>
      <c r="S65" s="772"/>
      <c r="T65" s="772"/>
      <c r="U65" s="772"/>
      <c r="V65" s="772"/>
      <c r="W65" s="772"/>
      <c r="X65" s="773"/>
    </row>
    <row r="66" spans="1:24" s="611" customFormat="1" ht="23.1" customHeight="1">
      <c r="A66" s="65"/>
      <c r="B66" s="80"/>
      <c r="C66" s="695" t="s">
        <v>1114</v>
      </c>
      <c r="D66" s="696"/>
      <c r="E66" s="694" t="s">
        <v>15</v>
      </c>
      <c r="F66" s="817"/>
      <c r="G66" s="815"/>
      <c r="H66" s="816"/>
      <c r="I66" s="418"/>
      <c r="K66" s="771"/>
      <c r="L66" s="772"/>
      <c r="M66" s="772"/>
      <c r="N66" s="772"/>
      <c r="O66" s="772"/>
      <c r="P66" s="772"/>
      <c r="Q66" s="772"/>
      <c r="R66" s="772"/>
      <c r="S66" s="772"/>
      <c r="T66" s="772"/>
      <c r="U66" s="772"/>
      <c r="V66" s="772"/>
      <c r="W66" s="772"/>
      <c r="X66" s="773"/>
    </row>
    <row r="67" spans="1:24" s="611" customFormat="1" ht="23.1" customHeight="1">
      <c r="A67" s="65"/>
      <c r="B67" s="80"/>
      <c r="C67" s="695" t="s">
        <v>1115</v>
      </c>
      <c r="D67" s="696"/>
      <c r="E67" s="694" t="s">
        <v>15</v>
      </c>
      <c r="F67" s="817"/>
      <c r="G67" s="815"/>
      <c r="H67" s="816"/>
      <c r="I67" s="418"/>
      <c r="K67" s="771"/>
      <c r="L67" s="772"/>
      <c r="M67" s="772"/>
      <c r="N67" s="772"/>
      <c r="O67" s="772"/>
      <c r="P67" s="772"/>
      <c r="Q67" s="772"/>
      <c r="R67" s="772"/>
      <c r="S67" s="772"/>
      <c r="T67" s="772"/>
      <c r="U67" s="772"/>
      <c r="V67" s="772"/>
      <c r="W67" s="772"/>
      <c r="X67" s="773"/>
    </row>
    <row r="68" spans="1:24" s="611" customFormat="1" ht="23.1" customHeight="1">
      <c r="A68" s="65"/>
      <c r="B68" s="80"/>
      <c r="C68" s="695" t="s">
        <v>1116</v>
      </c>
      <c r="D68" s="696"/>
      <c r="E68" s="694" t="s">
        <v>21</v>
      </c>
      <c r="F68" s="817"/>
      <c r="G68" s="815"/>
      <c r="H68" s="816"/>
      <c r="I68" s="418"/>
      <c r="K68" s="771"/>
      <c r="L68" s="772"/>
      <c r="M68" s="772"/>
      <c r="N68" s="772"/>
      <c r="O68" s="772"/>
      <c r="P68" s="772"/>
      <c r="Q68" s="772"/>
      <c r="R68" s="772"/>
      <c r="S68" s="772"/>
      <c r="T68" s="772"/>
      <c r="U68" s="772"/>
      <c r="V68" s="772"/>
      <c r="W68" s="772"/>
      <c r="X68" s="773"/>
    </row>
    <row r="69" spans="1:24" s="611" customFormat="1" ht="23.1" customHeight="1">
      <c r="A69" s="65"/>
      <c r="B69" s="80"/>
      <c r="C69" s="695" t="s">
        <v>24</v>
      </c>
      <c r="D69" s="696"/>
      <c r="E69" s="694" t="s">
        <v>21</v>
      </c>
      <c r="F69" s="817"/>
      <c r="G69" s="815"/>
      <c r="H69" s="816"/>
      <c r="I69" s="418"/>
      <c r="K69" s="771"/>
      <c r="L69" s="772"/>
      <c r="M69" s="772"/>
      <c r="N69" s="772"/>
      <c r="O69" s="772"/>
      <c r="P69" s="772"/>
      <c r="Q69" s="772"/>
      <c r="R69" s="772"/>
      <c r="S69" s="772"/>
      <c r="T69" s="772"/>
      <c r="U69" s="772"/>
      <c r="V69" s="772"/>
      <c r="W69" s="772"/>
      <c r="X69" s="773"/>
    </row>
    <row r="70" spans="1:24" s="611" customFormat="1" ht="23.1" customHeight="1">
      <c r="A70" s="65"/>
      <c r="B70" s="80"/>
      <c r="C70" s="695" t="s">
        <v>27</v>
      </c>
      <c r="D70" s="696"/>
      <c r="E70" s="694" t="s">
        <v>21</v>
      </c>
      <c r="F70" s="817"/>
      <c r="G70" s="815"/>
      <c r="H70" s="816"/>
      <c r="I70" s="418"/>
      <c r="K70" s="771"/>
      <c r="L70" s="772"/>
      <c r="M70" s="772"/>
      <c r="N70" s="772"/>
      <c r="O70" s="772"/>
      <c r="P70" s="772"/>
      <c r="Q70" s="772"/>
      <c r="R70" s="772"/>
      <c r="S70" s="772"/>
      <c r="T70" s="772"/>
      <c r="U70" s="772"/>
      <c r="V70" s="772"/>
      <c r="W70" s="772"/>
      <c r="X70" s="773"/>
    </row>
    <row r="71" spans="1:24" s="611" customFormat="1" ht="23.1" customHeight="1">
      <c r="A71" s="65"/>
      <c r="B71" s="80"/>
      <c r="C71" s="695" t="s">
        <v>1117</v>
      </c>
      <c r="D71" s="696"/>
      <c r="E71" s="694" t="s">
        <v>21</v>
      </c>
      <c r="F71" s="817"/>
      <c r="G71" s="815"/>
      <c r="H71" s="816"/>
      <c r="I71" s="418"/>
      <c r="K71" s="771"/>
      <c r="L71" s="772"/>
      <c r="M71" s="772"/>
      <c r="N71" s="772"/>
      <c r="O71" s="772"/>
      <c r="P71" s="772"/>
      <c r="Q71" s="772"/>
      <c r="R71" s="772"/>
      <c r="S71" s="772"/>
      <c r="T71" s="772"/>
      <c r="U71" s="772"/>
      <c r="V71" s="772"/>
      <c r="W71" s="772"/>
      <c r="X71" s="773"/>
    </row>
    <row r="72" spans="1:24" s="611" customFormat="1" ht="23.1" customHeight="1">
      <c r="A72" s="65"/>
      <c r="B72" s="80"/>
      <c r="C72" s="697" t="s">
        <v>32</v>
      </c>
      <c r="D72" s="689"/>
      <c r="E72" s="681" t="s">
        <v>21</v>
      </c>
      <c r="F72" s="698"/>
      <c r="G72" s="815"/>
      <c r="H72" s="816"/>
      <c r="I72" s="418"/>
      <c r="K72" s="771"/>
      <c r="L72" s="772"/>
      <c r="M72" s="772"/>
      <c r="N72" s="772"/>
      <c r="O72" s="772"/>
      <c r="P72" s="772"/>
      <c r="Q72" s="772"/>
      <c r="R72" s="772"/>
      <c r="S72" s="772"/>
      <c r="T72" s="772"/>
      <c r="U72" s="772"/>
      <c r="V72" s="772"/>
      <c r="W72" s="772"/>
      <c r="X72" s="773"/>
    </row>
    <row r="73" spans="1:24" ht="23.1" customHeight="1">
      <c r="B73" s="80"/>
      <c r="C73" s="697" t="s">
        <v>1118</v>
      </c>
      <c r="D73" s="689"/>
      <c r="E73" s="681" t="s">
        <v>21</v>
      </c>
      <c r="F73" s="698"/>
      <c r="G73" s="815"/>
      <c r="H73" s="816"/>
      <c r="I73" s="418"/>
      <c r="J73" s="611"/>
      <c r="K73" s="771"/>
      <c r="L73" s="772"/>
      <c r="M73" s="772"/>
      <c r="N73" s="772"/>
      <c r="O73" s="772"/>
      <c r="P73" s="772"/>
      <c r="Q73" s="772"/>
      <c r="R73" s="772"/>
      <c r="S73" s="772"/>
      <c r="T73" s="772"/>
      <c r="U73" s="772"/>
      <c r="V73" s="772"/>
      <c r="W73" s="772"/>
      <c r="X73" s="773"/>
    </row>
    <row r="74" spans="1:24" ht="23.1" customHeight="1">
      <c r="B74" s="80"/>
      <c r="C74" s="697" t="s">
        <v>41</v>
      </c>
      <c r="D74" s="689"/>
      <c r="E74" s="676" t="s">
        <v>15</v>
      </c>
      <c r="F74" s="699"/>
      <c r="G74" s="815"/>
      <c r="H74" s="816"/>
      <c r="I74" s="72"/>
      <c r="K74" s="771"/>
      <c r="L74" s="772"/>
      <c r="M74" s="772"/>
      <c r="N74" s="772"/>
      <c r="O74" s="772"/>
      <c r="P74" s="772"/>
      <c r="Q74" s="772"/>
      <c r="R74" s="772"/>
      <c r="S74" s="772"/>
      <c r="T74" s="772"/>
      <c r="U74" s="772"/>
      <c r="V74" s="772"/>
      <c r="W74" s="772"/>
      <c r="X74" s="773"/>
    </row>
    <row r="75" spans="1:24" ht="23.1" customHeight="1">
      <c r="B75" s="80"/>
      <c r="C75" s="697" t="s">
        <v>1119</v>
      </c>
      <c r="D75" s="689"/>
      <c r="E75" s="676" t="s">
        <v>15</v>
      </c>
      <c r="F75" s="699"/>
      <c r="G75" s="815"/>
      <c r="H75" s="816"/>
      <c r="I75" s="72"/>
      <c r="K75" s="771"/>
      <c r="L75" s="772"/>
      <c r="M75" s="772"/>
      <c r="N75" s="772"/>
      <c r="O75" s="772"/>
      <c r="P75" s="772"/>
      <c r="Q75" s="772"/>
      <c r="R75" s="772"/>
      <c r="S75" s="772"/>
      <c r="T75" s="772"/>
      <c r="U75" s="772"/>
      <c r="V75" s="772"/>
      <c r="W75" s="772"/>
      <c r="X75" s="773"/>
    </row>
    <row r="76" spans="1:24" ht="23.1" customHeight="1">
      <c r="B76" s="80"/>
      <c r="C76" s="697" t="s">
        <v>47</v>
      </c>
      <c r="D76" s="689"/>
      <c r="E76" s="676" t="s">
        <v>15</v>
      </c>
      <c r="F76" s="699"/>
      <c r="G76" s="815"/>
      <c r="H76" s="816"/>
      <c r="I76" s="72"/>
      <c r="K76" s="771"/>
      <c r="L76" s="772"/>
      <c r="M76" s="772"/>
      <c r="N76" s="772"/>
      <c r="O76" s="772"/>
      <c r="P76" s="772"/>
      <c r="Q76" s="772"/>
      <c r="R76" s="772"/>
      <c r="S76" s="772"/>
      <c r="T76" s="772"/>
      <c r="U76" s="772"/>
      <c r="V76" s="772"/>
      <c r="W76" s="772"/>
      <c r="X76" s="773"/>
    </row>
    <row r="77" spans="1:24" s="611" customFormat="1" ht="23.1" customHeight="1">
      <c r="A77" s="65"/>
      <c r="B77" s="80"/>
      <c r="C77" s="697" t="s">
        <v>1120</v>
      </c>
      <c r="D77" s="689"/>
      <c r="E77" s="676" t="s">
        <v>15</v>
      </c>
      <c r="F77" s="699"/>
      <c r="G77" s="815"/>
      <c r="H77" s="816"/>
      <c r="I77" s="72"/>
      <c r="J77" s="65"/>
      <c r="K77" s="771"/>
      <c r="L77" s="772"/>
      <c r="M77" s="772"/>
      <c r="N77" s="772"/>
      <c r="O77" s="772"/>
      <c r="P77" s="772"/>
      <c r="Q77" s="772"/>
      <c r="R77" s="772"/>
      <c r="S77" s="772"/>
      <c r="T77" s="772"/>
      <c r="U77" s="772"/>
      <c r="V77" s="772"/>
      <c r="W77" s="772"/>
      <c r="X77" s="773"/>
    </row>
    <row r="78" spans="1:24" s="611" customFormat="1" ht="23.1" customHeight="1">
      <c r="A78" s="65"/>
      <c r="B78" s="80"/>
      <c r="C78" s="691" t="s">
        <v>1121</v>
      </c>
      <c r="D78" s="644"/>
      <c r="E78" s="676" t="s">
        <v>15</v>
      </c>
      <c r="F78" s="699"/>
      <c r="G78" s="699"/>
      <c r="H78" s="699"/>
      <c r="I78" s="72"/>
      <c r="J78" s="65"/>
      <c r="K78" s="771"/>
      <c r="L78" s="772"/>
      <c r="M78" s="772"/>
      <c r="N78" s="772"/>
      <c r="O78" s="772"/>
      <c r="P78" s="772"/>
      <c r="Q78" s="772"/>
      <c r="R78" s="772"/>
      <c r="S78" s="772"/>
      <c r="T78" s="772"/>
      <c r="U78" s="772"/>
      <c r="V78" s="772"/>
      <c r="W78" s="772"/>
      <c r="X78" s="773"/>
    </row>
    <row r="79" spans="1:24" s="611" customFormat="1" ht="23.1" customHeight="1">
      <c r="A79" s="65"/>
      <c r="B79" s="80"/>
      <c r="C79" s="691" t="s">
        <v>1122</v>
      </c>
      <c r="D79" s="644"/>
      <c r="E79" s="676" t="s">
        <v>15</v>
      </c>
      <c r="F79" s="699"/>
      <c r="G79" s="815"/>
      <c r="H79" s="816"/>
      <c r="I79" s="72"/>
      <c r="J79" s="65"/>
      <c r="K79" s="771"/>
      <c r="L79" s="772"/>
      <c r="M79" s="772"/>
      <c r="N79" s="772"/>
      <c r="O79" s="772"/>
      <c r="P79" s="772"/>
      <c r="Q79" s="772"/>
      <c r="R79" s="772"/>
      <c r="S79" s="772"/>
      <c r="T79" s="772"/>
      <c r="U79" s="772"/>
      <c r="V79" s="772"/>
      <c r="W79" s="772"/>
      <c r="X79" s="773"/>
    </row>
    <row r="80" spans="1:24" s="611" customFormat="1" ht="23.1" customHeight="1">
      <c r="A80" s="65"/>
      <c r="B80" s="80"/>
      <c r="C80" s="1458" t="s">
        <v>1123</v>
      </c>
      <c r="D80" s="1459"/>
      <c r="E80" s="661"/>
      <c r="F80" s="703"/>
      <c r="G80" s="701"/>
      <c r="H80" s="702"/>
      <c r="I80" s="72"/>
      <c r="J80" s="65"/>
      <c r="K80" s="771"/>
      <c r="L80" s="772"/>
      <c r="M80" s="772"/>
      <c r="N80" s="772"/>
      <c r="O80" s="772"/>
      <c r="P80" s="772"/>
      <c r="Q80" s="772"/>
      <c r="R80" s="772"/>
      <c r="S80" s="772"/>
      <c r="T80" s="772"/>
      <c r="U80" s="772"/>
      <c r="V80" s="772"/>
      <c r="W80" s="772"/>
      <c r="X80" s="773"/>
    </row>
    <row r="81" spans="1:24" s="611" customFormat="1" ht="23.1" customHeight="1">
      <c r="A81" s="65"/>
      <c r="B81" s="80"/>
      <c r="C81" s="682" t="s">
        <v>1124</v>
      </c>
      <c r="D81" s="683"/>
      <c r="E81" s="676" t="s">
        <v>21</v>
      </c>
      <c r="F81" s="699"/>
      <c r="G81" s="700"/>
      <c r="H81" s="700"/>
      <c r="I81" s="418"/>
      <c r="K81" s="771"/>
      <c r="L81" s="772"/>
      <c r="M81" s="772"/>
      <c r="N81" s="772"/>
      <c r="O81" s="772"/>
      <c r="P81" s="772"/>
      <c r="Q81" s="772"/>
      <c r="R81" s="772"/>
      <c r="S81" s="772"/>
      <c r="T81" s="772"/>
      <c r="U81" s="772"/>
      <c r="V81" s="772"/>
      <c r="W81" s="772"/>
      <c r="X81" s="773"/>
    </row>
    <row r="82" spans="1:24" s="611" customFormat="1" ht="23.1" customHeight="1">
      <c r="A82" s="65"/>
      <c r="B82" s="80"/>
      <c r="C82" s="682" t="s">
        <v>1126</v>
      </c>
      <c r="D82" s="683"/>
      <c r="E82" s="676" t="s">
        <v>21</v>
      </c>
      <c r="F82" s="699"/>
      <c r="G82" s="700"/>
      <c r="H82" s="700"/>
      <c r="I82" s="418"/>
      <c r="K82" s="771"/>
      <c r="L82" s="772"/>
      <c r="M82" s="772"/>
      <c r="N82" s="772"/>
      <c r="O82" s="772"/>
      <c r="P82" s="772"/>
      <c r="Q82" s="772"/>
      <c r="R82" s="772"/>
      <c r="S82" s="772"/>
      <c r="T82" s="772"/>
      <c r="U82" s="772"/>
      <c r="V82" s="772"/>
      <c r="W82" s="772"/>
      <c r="X82" s="773"/>
    </row>
    <row r="83" spans="1:24" ht="23.1" customHeight="1">
      <c r="B83" s="80"/>
      <c r="C83" s="682" t="s">
        <v>1127</v>
      </c>
      <c r="D83" s="683"/>
      <c r="E83" s="676" t="s">
        <v>15</v>
      </c>
      <c r="F83" s="699"/>
      <c r="G83" s="700"/>
      <c r="H83" s="700"/>
      <c r="I83" s="418"/>
      <c r="J83" s="611"/>
      <c r="K83" s="771"/>
      <c r="L83" s="772"/>
      <c r="M83" s="772"/>
      <c r="N83" s="772"/>
      <c r="O83" s="772"/>
      <c r="P83" s="772"/>
      <c r="Q83" s="772"/>
      <c r="R83" s="772"/>
      <c r="S83" s="772"/>
      <c r="T83" s="772"/>
      <c r="U83" s="772"/>
      <c r="V83" s="772"/>
      <c r="W83" s="772"/>
      <c r="X83" s="773"/>
    </row>
    <row r="84" spans="1:24" ht="23.1" customHeight="1">
      <c r="B84" s="80"/>
      <c r="C84" s="682" t="s">
        <v>1128</v>
      </c>
      <c r="D84" s="683"/>
      <c r="E84" s="676" t="s">
        <v>21</v>
      </c>
      <c r="F84" s="699"/>
      <c r="G84" s="700"/>
      <c r="H84" s="700"/>
      <c r="I84" s="418"/>
      <c r="J84" s="611"/>
      <c r="K84" s="771"/>
      <c r="L84" s="772"/>
      <c r="M84" s="772"/>
      <c r="N84" s="772"/>
      <c r="O84" s="772"/>
      <c r="P84" s="772"/>
      <c r="Q84" s="772"/>
      <c r="R84" s="772"/>
      <c r="S84" s="772"/>
      <c r="T84" s="772"/>
      <c r="U84" s="772"/>
      <c r="V84" s="772"/>
      <c r="W84" s="772"/>
      <c r="X84" s="773"/>
    </row>
    <row r="85" spans="1:24" ht="23.1" customHeight="1">
      <c r="B85" s="80"/>
      <c r="C85" s="691" t="s">
        <v>1129</v>
      </c>
      <c r="D85" s="644"/>
      <c r="E85" s="676" t="s">
        <v>15</v>
      </c>
      <c r="F85" s="699"/>
      <c r="G85" s="700"/>
      <c r="H85" s="700"/>
      <c r="I85" s="72"/>
      <c r="K85" s="771"/>
      <c r="L85" s="772"/>
      <c r="M85" s="772"/>
      <c r="N85" s="772"/>
      <c r="O85" s="772"/>
      <c r="P85" s="772"/>
      <c r="Q85" s="772"/>
      <c r="R85" s="772"/>
      <c r="S85" s="772"/>
      <c r="T85" s="772"/>
      <c r="U85" s="772"/>
      <c r="V85" s="772"/>
      <c r="W85" s="772"/>
      <c r="X85" s="773"/>
    </row>
    <row r="86" spans="1:24" ht="23.1" customHeight="1">
      <c r="B86" s="80"/>
      <c r="C86" s="691" t="s">
        <v>1130</v>
      </c>
      <c r="D86" s="644"/>
      <c r="E86" s="676" t="s">
        <v>21</v>
      </c>
      <c r="F86" s="699"/>
      <c r="G86" s="700"/>
      <c r="H86" s="700"/>
      <c r="I86" s="72"/>
      <c r="K86" s="771"/>
      <c r="L86" s="772"/>
      <c r="M86" s="772"/>
      <c r="N86" s="772"/>
      <c r="O86" s="772"/>
      <c r="P86" s="772"/>
      <c r="Q86" s="772"/>
      <c r="R86" s="772"/>
      <c r="S86" s="772"/>
      <c r="T86" s="772"/>
      <c r="U86" s="772"/>
      <c r="V86" s="772"/>
      <c r="W86" s="772"/>
      <c r="X86" s="773"/>
    </row>
    <row r="87" spans="1:24" ht="23.1" customHeight="1">
      <c r="B87" s="80"/>
      <c r="C87" s="691" t="s">
        <v>1131</v>
      </c>
      <c r="D87" s="644"/>
      <c r="E87" s="676" t="s">
        <v>15</v>
      </c>
      <c r="F87" s="699"/>
      <c r="G87" s="700"/>
      <c r="H87" s="700"/>
      <c r="I87" s="72"/>
      <c r="K87" s="771"/>
      <c r="L87" s="772"/>
      <c r="M87" s="772"/>
      <c r="N87" s="772"/>
      <c r="O87" s="772"/>
      <c r="P87" s="772"/>
      <c r="Q87" s="772"/>
      <c r="R87" s="772"/>
      <c r="S87" s="772"/>
      <c r="T87" s="772"/>
      <c r="U87" s="772"/>
      <c r="V87" s="772"/>
      <c r="W87" s="772"/>
      <c r="X87" s="773"/>
    </row>
    <row r="88" spans="1:24" ht="23.1" customHeight="1">
      <c r="B88" s="80"/>
      <c r="C88" s="691" t="s">
        <v>74</v>
      </c>
      <c r="D88" s="644"/>
      <c r="E88" s="676" t="s">
        <v>15</v>
      </c>
      <c r="F88" s="699"/>
      <c r="G88" s="700"/>
      <c r="H88" s="700"/>
      <c r="I88" s="72"/>
      <c r="K88" s="771"/>
      <c r="L88" s="772"/>
      <c r="M88" s="772"/>
      <c r="N88" s="772"/>
      <c r="O88" s="772"/>
      <c r="P88" s="772"/>
      <c r="Q88" s="772"/>
      <c r="R88" s="772"/>
      <c r="S88" s="772"/>
      <c r="T88" s="772"/>
      <c r="U88" s="772"/>
      <c r="V88" s="772"/>
      <c r="W88" s="772"/>
      <c r="X88" s="773"/>
    </row>
    <row r="89" spans="1:24" ht="23.1" customHeight="1">
      <c r="B89" s="80"/>
      <c r="C89" s="692" t="s">
        <v>1132</v>
      </c>
      <c r="D89" s="679"/>
      <c r="E89" s="680" t="s">
        <v>21</v>
      </c>
      <c r="F89" s="699"/>
      <c r="G89" s="700"/>
      <c r="H89" s="700"/>
      <c r="I89" s="72"/>
      <c r="K89" s="771"/>
      <c r="L89" s="772"/>
      <c r="M89" s="772"/>
      <c r="N89" s="772"/>
      <c r="O89" s="772"/>
      <c r="P89" s="772"/>
      <c r="Q89" s="772"/>
      <c r="R89" s="772"/>
      <c r="S89" s="772"/>
      <c r="T89" s="772"/>
      <c r="U89" s="772"/>
      <c r="V89" s="772"/>
      <c r="W89" s="772"/>
      <c r="X89" s="773"/>
    </row>
    <row r="90" spans="1:24" ht="23.1" customHeight="1">
      <c r="B90" s="80"/>
      <c r="C90" s="691" t="s">
        <v>1133</v>
      </c>
      <c r="D90" s="644"/>
      <c r="E90" s="676" t="s">
        <v>15</v>
      </c>
      <c r="F90" s="699"/>
      <c r="G90" s="700"/>
      <c r="H90" s="700"/>
      <c r="I90" s="72"/>
      <c r="K90" s="771"/>
      <c r="L90" s="772"/>
      <c r="M90" s="772"/>
      <c r="N90" s="772"/>
      <c r="O90" s="772"/>
      <c r="P90" s="772"/>
      <c r="Q90" s="772"/>
      <c r="R90" s="772"/>
      <c r="S90" s="772"/>
      <c r="T90" s="772"/>
      <c r="U90" s="772"/>
      <c r="V90" s="772"/>
      <c r="W90" s="772"/>
      <c r="X90" s="773"/>
    </row>
    <row r="91" spans="1:24" ht="23.1" customHeight="1">
      <c r="B91" s="80"/>
      <c r="C91" s="691" t="s">
        <v>1135</v>
      </c>
      <c r="D91" s="644"/>
      <c r="E91" s="676" t="s">
        <v>15</v>
      </c>
      <c r="F91" s="699"/>
      <c r="G91" s="700"/>
      <c r="H91" s="700"/>
      <c r="I91" s="72"/>
      <c r="K91" s="771"/>
      <c r="L91" s="772"/>
      <c r="M91" s="772"/>
      <c r="N91" s="772"/>
      <c r="O91" s="772"/>
      <c r="P91" s="772"/>
      <c r="Q91" s="772"/>
      <c r="R91" s="772"/>
      <c r="S91" s="772"/>
      <c r="T91" s="772"/>
      <c r="U91" s="772"/>
      <c r="V91" s="772"/>
      <c r="W91" s="772"/>
      <c r="X91" s="773"/>
    </row>
    <row r="92" spans="1:24" ht="23.1" customHeight="1">
      <c r="B92" s="80"/>
      <c r="C92" s="1458" t="s">
        <v>1136</v>
      </c>
      <c r="D92" s="1459"/>
      <c r="E92" s="661"/>
      <c r="F92" s="703"/>
      <c r="G92" s="701"/>
      <c r="H92" s="702"/>
      <c r="I92" s="72"/>
      <c r="K92" s="771"/>
      <c r="L92" s="772"/>
      <c r="M92" s="772"/>
      <c r="N92" s="772"/>
      <c r="O92" s="772"/>
      <c r="P92" s="772"/>
      <c r="Q92" s="772"/>
      <c r="R92" s="772"/>
      <c r="S92" s="772"/>
      <c r="T92" s="772"/>
      <c r="U92" s="772"/>
      <c r="V92" s="772"/>
      <c r="W92" s="772"/>
      <c r="X92" s="773"/>
    </row>
    <row r="93" spans="1:24" ht="23.1" customHeight="1">
      <c r="B93" s="80"/>
      <c r="C93" s="691" t="s">
        <v>1137</v>
      </c>
      <c r="D93" s="644"/>
      <c r="E93" s="676" t="s">
        <v>21</v>
      </c>
      <c r="F93" s="699"/>
      <c r="G93" s="700"/>
      <c r="H93" s="700"/>
      <c r="I93" s="72"/>
      <c r="K93" s="771"/>
      <c r="L93" s="772"/>
      <c r="M93" s="772"/>
      <c r="N93" s="772"/>
      <c r="O93" s="772"/>
      <c r="P93" s="772"/>
      <c r="Q93" s="772"/>
      <c r="R93" s="772"/>
      <c r="S93" s="772"/>
      <c r="T93" s="772"/>
      <c r="U93" s="772"/>
      <c r="V93" s="772"/>
      <c r="W93" s="772"/>
      <c r="X93" s="773"/>
    </row>
    <row r="94" spans="1:24" ht="23.1" customHeight="1">
      <c r="B94" s="80"/>
      <c r="C94" s="691" t="s">
        <v>1138</v>
      </c>
      <c r="D94" s="644"/>
      <c r="E94" s="676" t="s">
        <v>21</v>
      </c>
      <c r="F94" s="699"/>
      <c r="G94" s="700"/>
      <c r="H94" s="700"/>
      <c r="I94" s="72"/>
      <c r="K94" s="771"/>
      <c r="L94" s="772"/>
      <c r="M94" s="772"/>
      <c r="N94" s="772"/>
      <c r="O94" s="772"/>
      <c r="P94" s="772"/>
      <c r="Q94" s="772"/>
      <c r="R94" s="772"/>
      <c r="S94" s="772"/>
      <c r="T94" s="772"/>
      <c r="U94" s="772"/>
      <c r="V94" s="772"/>
      <c r="W94" s="772"/>
      <c r="X94" s="773"/>
    </row>
    <row r="95" spans="1:24" ht="23.1" customHeight="1">
      <c r="B95" s="80"/>
      <c r="C95" s="691" t="s">
        <v>83</v>
      </c>
      <c r="D95" s="644"/>
      <c r="E95" s="676" t="s">
        <v>21</v>
      </c>
      <c r="F95" s="699"/>
      <c r="G95" s="700"/>
      <c r="H95" s="700"/>
      <c r="I95" s="72"/>
      <c r="K95" s="771"/>
      <c r="L95" s="772"/>
      <c r="M95" s="772"/>
      <c r="N95" s="772"/>
      <c r="O95" s="772"/>
      <c r="P95" s="772"/>
      <c r="Q95" s="772"/>
      <c r="R95" s="772"/>
      <c r="S95" s="772"/>
      <c r="T95" s="772"/>
      <c r="U95" s="772"/>
      <c r="V95" s="772"/>
      <c r="W95" s="772"/>
      <c r="X95" s="773"/>
    </row>
    <row r="96" spans="1:24" ht="23.1" customHeight="1">
      <c r="B96" s="80"/>
      <c r="C96" s="691" t="s">
        <v>1139</v>
      </c>
      <c r="D96" s="644"/>
      <c r="E96" s="676" t="s">
        <v>21</v>
      </c>
      <c r="F96" s="699"/>
      <c r="G96" s="700"/>
      <c r="H96" s="700"/>
      <c r="I96" s="72"/>
      <c r="K96" s="771"/>
      <c r="L96" s="772"/>
      <c r="M96" s="772"/>
      <c r="N96" s="772"/>
      <c r="O96" s="772"/>
      <c r="P96" s="772"/>
      <c r="Q96" s="772"/>
      <c r="R96" s="772"/>
      <c r="S96" s="772"/>
      <c r="T96" s="772"/>
      <c r="U96" s="772"/>
      <c r="V96" s="772"/>
      <c r="W96" s="772"/>
      <c r="X96" s="773"/>
    </row>
    <row r="97" spans="2:24" ht="23.1" customHeight="1">
      <c r="B97" s="80"/>
      <c r="C97" s="691" t="s">
        <v>1140</v>
      </c>
      <c r="D97" s="644"/>
      <c r="E97" s="676" t="s">
        <v>15</v>
      </c>
      <c r="F97" s="699"/>
      <c r="G97" s="700"/>
      <c r="H97" s="700"/>
      <c r="I97" s="72"/>
      <c r="K97" s="771"/>
      <c r="L97" s="772"/>
      <c r="M97" s="772"/>
      <c r="N97" s="772"/>
      <c r="O97" s="772"/>
      <c r="P97" s="772"/>
      <c r="Q97" s="772"/>
      <c r="R97" s="772"/>
      <c r="S97" s="772"/>
      <c r="T97" s="772"/>
      <c r="U97" s="772"/>
      <c r="V97" s="772"/>
      <c r="W97" s="772"/>
      <c r="X97" s="773"/>
    </row>
    <row r="98" spans="2:24" ht="23.1" customHeight="1">
      <c r="B98" s="80"/>
      <c r="C98" s="691" t="s">
        <v>1141</v>
      </c>
      <c r="D98" s="644"/>
      <c r="E98" s="676" t="s">
        <v>15</v>
      </c>
      <c r="F98" s="699"/>
      <c r="G98" s="700"/>
      <c r="H98" s="700"/>
      <c r="I98" s="72"/>
      <c r="K98" s="771"/>
      <c r="L98" s="772"/>
      <c r="M98" s="772"/>
      <c r="N98" s="772"/>
      <c r="O98" s="772"/>
      <c r="P98" s="772"/>
      <c r="Q98" s="772"/>
      <c r="R98" s="772"/>
      <c r="S98" s="772"/>
      <c r="T98" s="772"/>
      <c r="U98" s="772"/>
      <c r="V98" s="772"/>
      <c r="W98" s="772"/>
      <c r="X98" s="773"/>
    </row>
    <row r="99" spans="2:24" ht="23.1" customHeight="1">
      <c r="B99" s="80"/>
      <c r="C99" s="691" t="s">
        <v>1142</v>
      </c>
      <c r="D99" s="644"/>
      <c r="E99" s="676" t="s">
        <v>15</v>
      </c>
      <c r="F99" s="699"/>
      <c r="G99" s="700"/>
      <c r="H99" s="700"/>
      <c r="I99" s="72"/>
      <c r="K99" s="771"/>
      <c r="L99" s="772"/>
      <c r="M99" s="772"/>
      <c r="N99" s="772"/>
      <c r="O99" s="772"/>
      <c r="P99" s="772"/>
      <c r="Q99" s="772"/>
      <c r="R99" s="772"/>
      <c r="S99" s="772"/>
      <c r="T99" s="772"/>
      <c r="U99" s="772"/>
      <c r="V99" s="772"/>
      <c r="W99" s="772"/>
      <c r="X99" s="773"/>
    </row>
    <row r="100" spans="2:24" ht="23.1" customHeight="1">
      <c r="B100" s="80"/>
      <c r="C100" s="691" t="s">
        <v>1143</v>
      </c>
      <c r="D100" s="644"/>
      <c r="E100" s="676" t="s">
        <v>15</v>
      </c>
      <c r="F100" s="699"/>
      <c r="G100" s="700"/>
      <c r="H100" s="700"/>
      <c r="I100" s="72"/>
      <c r="K100" s="771"/>
      <c r="L100" s="772"/>
      <c r="M100" s="772"/>
      <c r="N100" s="772"/>
      <c r="O100" s="772"/>
      <c r="P100" s="772"/>
      <c r="Q100" s="772"/>
      <c r="R100" s="772"/>
      <c r="S100" s="772"/>
      <c r="T100" s="772"/>
      <c r="U100" s="772"/>
      <c r="V100" s="772"/>
      <c r="W100" s="772"/>
      <c r="X100" s="773"/>
    </row>
    <row r="101" spans="2:24" ht="23.1" customHeight="1" thickBot="1">
      <c r="B101" s="905"/>
      <c r="C101" s="1408"/>
      <c r="D101" s="1410"/>
      <c r="E101" s="660"/>
      <c r="F101" s="151" t="s">
        <v>981</v>
      </c>
      <c r="G101" s="119">
        <f>SUM(G62:G100)</f>
        <v>0</v>
      </c>
      <c r="H101" s="119">
        <f>SUM(H62:H100)</f>
        <v>0</v>
      </c>
      <c r="I101" s="904"/>
      <c r="J101" s="877"/>
      <c r="K101" s="771"/>
      <c r="L101" s="772"/>
      <c r="M101" s="772"/>
      <c r="N101" s="772"/>
      <c r="O101" s="772"/>
      <c r="P101" s="772"/>
      <c r="Q101" s="772"/>
      <c r="R101" s="772"/>
      <c r="S101" s="772"/>
      <c r="T101" s="772"/>
      <c r="U101" s="772"/>
      <c r="V101" s="772"/>
      <c r="W101" s="772"/>
      <c r="X101" s="773"/>
    </row>
    <row r="102" spans="2:24" ht="15.95" customHeight="1">
      <c r="B102" s="80"/>
      <c r="C102" s="597"/>
      <c r="D102" s="597"/>
      <c r="E102" s="597"/>
      <c r="F102" s="150"/>
      <c r="G102" s="150"/>
      <c r="H102" s="64"/>
      <c r="I102" s="72"/>
      <c r="K102" s="771"/>
      <c r="L102" s="772"/>
      <c r="M102" s="772"/>
      <c r="N102" s="772"/>
      <c r="O102" s="772"/>
      <c r="P102" s="772"/>
      <c r="Q102" s="772"/>
      <c r="R102" s="772"/>
      <c r="S102" s="772"/>
      <c r="T102" s="772"/>
      <c r="U102" s="772"/>
      <c r="V102" s="772"/>
      <c r="W102" s="772"/>
      <c r="X102" s="773"/>
    </row>
    <row r="103" spans="2:24" ht="15.95" customHeight="1">
      <c r="B103" s="80"/>
      <c r="C103" s="117" t="s">
        <v>317</v>
      </c>
      <c r="D103" s="597"/>
      <c r="E103" s="597"/>
      <c r="F103" s="150"/>
      <c r="G103" s="150"/>
      <c r="H103" s="64"/>
      <c r="I103" s="72"/>
      <c r="K103" s="771"/>
      <c r="L103" s="772"/>
      <c r="M103" s="772"/>
      <c r="N103" s="772"/>
      <c r="O103" s="772"/>
      <c r="P103" s="772"/>
      <c r="Q103" s="772"/>
      <c r="R103" s="772"/>
      <c r="S103" s="772"/>
      <c r="T103" s="772"/>
      <c r="U103" s="772"/>
      <c r="V103" s="772"/>
      <c r="W103" s="772"/>
      <c r="X103" s="773"/>
    </row>
    <row r="104" spans="2:24" ht="15.95" customHeight="1">
      <c r="B104" s="80"/>
      <c r="C104" s="115" t="s">
        <v>1147</v>
      </c>
      <c r="D104" s="597"/>
      <c r="E104" s="597"/>
      <c r="F104" s="150"/>
      <c r="G104" s="150"/>
      <c r="H104" s="64"/>
      <c r="I104" s="72"/>
      <c r="K104" s="771"/>
      <c r="L104" s="772"/>
      <c r="M104" s="772"/>
      <c r="N104" s="772"/>
      <c r="O104" s="772"/>
      <c r="P104" s="772"/>
      <c r="Q104" s="772"/>
      <c r="R104" s="772"/>
      <c r="S104" s="772"/>
      <c r="T104" s="772"/>
      <c r="U104" s="772"/>
      <c r="V104" s="772"/>
      <c r="W104" s="772"/>
      <c r="X104" s="773"/>
    </row>
    <row r="105" spans="2:24" ht="15.95" customHeight="1">
      <c r="B105" s="80"/>
      <c r="C105" s="115" t="s">
        <v>1148</v>
      </c>
      <c r="D105" s="597"/>
      <c r="E105" s="597"/>
      <c r="F105" s="150"/>
      <c r="G105" s="150"/>
      <c r="H105" s="64"/>
      <c r="I105" s="72"/>
      <c r="K105" s="771"/>
      <c r="L105" s="772"/>
      <c r="M105" s="772"/>
      <c r="N105" s="772"/>
      <c r="O105" s="772"/>
      <c r="P105" s="772"/>
      <c r="Q105" s="772"/>
      <c r="R105" s="772"/>
      <c r="S105" s="772"/>
      <c r="T105" s="772"/>
      <c r="U105" s="772"/>
      <c r="V105" s="772"/>
      <c r="W105" s="772"/>
      <c r="X105" s="773"/>
    </row>
    <row r="106" spans="2:24" ht="15.95" customHeight="1">
      <c r="B106" s="80"/>
      <c r="C106" s="115" t="s">
        <v>1149</v>
      </c>
      <c r="D106" s="597"/>
      <c r="E106" s="597"/>
      <c r="F106" s="150"/>
      <c r="G106" s="150"/>
      <c r="H106" s="64"/>
      <c r="I106" s="72"/>
      <c r="K106" s="771"/>
      <c r="L106" s="772"/>
      <c r="M106" s="772"/>
      <c r="N106" s="772"/>
      <c r="O106" s="772"/>
      <c r="P106" s="772"/>
      <c r="Q106" s="772"/>
      <c r="R106" s="772"/>
      <c r="S106" s="772"/>
      <c r="T106" s="772"/>
      <c r="U106" s="772"/>
      <c r="V106" s="772"/>
      <c r="W106" s="772"/>
      <c r="X106" s="773"/>
    </row>
    <row r="107" spans="2:24" ht="15.95" customHeight="1">
      <c r="B107" s="80"/>
      <c r="C107" s="115" t="s">
        <v>1150</v>
      </c>
      <c r="D107" s="597"/>
      <c r="E107" s="597"/>
      <c r="F107" s="150"/>
      <c r="G107" s="150"/>
      <c r="H107" s="64"/>
      <c r="I107" s="72"/>
      <c r="K107" s="771"/>
      <c r="L107" s="772"/>
      <c r="M107" s="772"/>
      <c r="N107" s="772"/>
      <c r="O107" s="772"/>
      <c r="P107" s="772"/>
      <c r="Q107" s="772"/>
      <c r="R107" s="772"/>
      <c r="S107" s="772"/>
      <c r="T107" s="772"/>
      <c r="U107" s="772"/>
      <c r="V107" s="772"/>
      <c r="W107" s="772"/>
      <c r="X107" s="773"/>
    </row>
    <row r="108" spans="2:24" ht="15.95" customHeight="1">
      <c r="B108" s="80"/>
      <c r="C108" s="115" t="s">
        <v>1151</v>
      </c>
      <c r="D108" s="597"/>
      <c r="E108" s="597"/>
      <c r="F108" s="150"/>
      <c r="G108" s="150"/>
      <c r="H108" s="64"/>
      <c r="I108" s="72"/>
      <c r="K108" s="771"/>
      <c r="L108" s="772"/>
      <c r="M108" s="772"/>
      <c r="N108" s="772"/>
      <c r="O108" s="772"/>
      <c r="P108" s="772"/>
      <c r="Q108" s="772"/>
      <c r="R108" s="772"/>
      <c r="S108" s="772"/>
      <c r="T108" s="772"/>
      <c r="U108" s="772"/>
      <c r="V108" s="772"/>
      <c r="W108" s="772"/>
      <c r="X108" s="773"/>
    </row>
    <row r="109" spans="2:24" ht="15.95" customHeight="1">
      <c r="B109" s="80"/>
      <c r="C109" s="115" t="s">
        <v>1152</v>
      </c>
      <c r="D109" s="597"/>
      <c r="E109" s="597"/>
      <c r="F109" s="150"/>
      <c r="G109" s="150"/>
      <c r="H109" s="64"/>
      <c r="I109" s="72"/>
      <c r="K109" s="771"/>
      <c r="L109" s="772"/>
      <c r="M109" s="772"/>
      <c r="N109" s="772"/>
      <c r="O109" s="772"/>
      <c r="P109" s="772"/>
      <c r="Q109" s="772"/>
      <c r="R109" s="772"/>
      <c r="S109" s="772"/>
      <c r="T109" s="772"/>
      <c r="U109" s="772"/>
      <c r="V109" s="772"/>
      <c r="W109" s="772"/>
      <c r="X109" s="773"/>
    </row>
    <row r="110" spans="2:24" ht="23.1" customHeight="1">
      <c r="B110" s="80"/>
      <c r="C110" s="115" t="s">
        <v>1153</v>
      </c>
      <c r="D110" s="597"/>
      <c r="E110" s="597"/>
      <c r="F110" s="150"/>
      <c r="G110" s="150"/>
      <c r="H110" s="64"/>
      <c r="I110" s="72"/>
      <c r="K110" s="771"/>
      <c r="L110" s="772"/>
      <c r="M110" s="772"/>
      <c r="N110" s="772"/>
      <c r="O110" s="772"/>
      <c r="P110" s="772"/>
      <c r="Q110" s="772"/>
      <c r="R110" s="772"/>
      <c r="S110" s="772"/>
      <c r="T110" s="772"/>
      <c r="U110" s="772"/>
      <c r="V110" s="772"/>
      <c r="W110" s="772"/>
      <c r="X110" s="773"/>
    </row>
    <row r="111" spans="2:24" ht="18">
      <c r="B111" s="80"/>
      <c r="C111" s="684" t="s">
        <v>1154</v>
      </c>
      <c r="D111" s="115"/>
      <c r="E111" s="115"/>
      <c r="F111" s="116"/>
      <c r="G111" s="116"/>
      <c r="H111" s="64"/>
      <c r="I111" s="72"/>
      <c r="K111" s="771"/>
      <c r="L111" s="772"/>
      <c r="M111" s="772"/>
      <c r="N111" s="772"/>
      <c r="O111" s="772"/>
      <c r="P111" s="772"/>
      <c r="Q111" s="772"/>
      <c r="R111" s="772"/>
      <c r="S111" s="772"/>
      <c r="T111" s="772"/>
      <c r="U111" s="772"/>
      <c r="V111" s="772"/>
      <c r="W111" s="772"/>
      <c r="X111" s="773"/>
    </row>
    <row r="112" spans="2:24" ht="13.5" thickBot="1">
      <c r="B112" s="83"/>
      <c r="C112" s="1228"/>
      <c r="D112" s="1228"/>
      <c r="E112" s="33"/>
      <c r="F112" s="33"/>
      <c r="G112" s="33"/>
      <c r="H112" s="84"/>
      <c r="I112" s="85"/>
      <c r="K112" s="776"/>
      <c r="L112" s="777"/>
      <c r="M112" s="777"/>
      <c r="N112" s="777"/>
      <c r="O112" s="777"/>
      <c r="P112" s="777"/>
      <c r="Q112" s="777"/>
      <c r="R112" s="777"/>
      <c r="S112" s="777"/>
      <c r="T112" s="777"/>
      <c r="U112" s="777"/>
      <c r="V112" s="777"/>
      <c r="W112" s="777"/>
      <c r="X112" s="778"/>
    </row>
    <row r="113" spans="1:24" ht="12.75">
      <c r="J113" s="65" t="s">
        <v>248</v>
      </c>
    </row>
    <row r="114" spans="1:24" ht="12.75">
      <c r="C114" s="86" t="s">
        <v>98</v>
      </c>
      <c r="H114" s="63" t="s">
        <v>1155</v>
      </c>
    </row>
    <row r="115" spans="1:24" ht="12.75">
      <c r="C115" s="86" t="s">
        <v>100</v>
      </c>
    </row>
    <row r="116" spans="1:24" ht="12.75">
      <c r="C116" s="86" t="s">
        <v>101</v>
      </c>
    </row>
    <row r="117" spans="1:24" s="674" customFormat="1" ht="12.75">
      <c r="B117" s="65"/>
      <c r="C117" s="86" t="s">
        <v>102</v>
      </c>
      <c r="D117" s="65"/>
      <c r="E117" s="65"/>
      <c r="F117" s="66"/>
      <c r="G117" s="66"/>
      <c r="H117" s="66"/>
      <c r="I117" s="65"/>
      <c r="J117" s="65"/>
      <c r="K117" s="65"/>
      <c r="L117" s="65"/>
      <c r="M117" s="65"/>
      <c r="N117" s="65"/>
      <c r="O117" s="65"/>
      <c r="P117" s="65"/>
      <c r="Q117" s="65"/>
      <c r="R117" s="65"/>
      <c r="S117" s="65"/>
      <c r="T117" s="65"/>
      <c r="U117" s="65"/>
      <c r="V117" s="65"/>
      <c r="W117" s="65"/>
      <c r="X117" s="65"/>
    </row>
    <row r="118" spans="1:24" s="674" customFormat="1" ht="12.75">
      <c r="B118" s="65"/>
      <c r="C118" s="86" t="s">
        <v>103</v>
      </c>
      <c r="D118" s="65"/>
      <c r="E118" s="65"/>
      <c r="F118" s="66"/>
      <c r="G118" s="66"/>
      <c r="H118" s="66"/>
      <c r="I118" s="65"/>
      <c r="J118" s="65"/>
      <c r="K118" s="65"/>
      <c r="L118" s="65"/>
      <c r="M118" s="65"/>
      <c r="N118" s="65"/>
      <c r="O118" s="65"/>
      <c r="P118" s="65"/>
      <c r="Q118" s="65"/>
      <c r="R118" s="65"/>
      <c r="S118" s="65"/>
      <c r="T118" s="65"/>
      <c r="U118" s="65"/>
      <c r="V118" s="65"/>
      <c r="W118" s="65"/>
      <c r="X118" s="65"/>
    </row>
    <row r="119" spans="1:24" s="674" customFormat="1" ht="12.75">
      <c r="F119" s="675"/>
      <c r="G119" s="675"/>
      <c r="H119" s="675"/>
    </row>
    <row r="120" spans="1:24" s="674" customFormat="1" ht="12.75"/>
    <row r="121" spans="1:24" s="674" customFormat="1" ht="12.75"/>
    <row r="122" spans="1:24" s="674" customFormat="1" ht="12.75">
      <c r="A122" s="65"/>
    </row>
    <row r="123" spans="1:24" s="674" customFormat="1" ht="12.75">
      <c r="A123" s="65"/>
    </row>
    <row r="124" spans="1:24" s="674" customFormat="1" ht="12.75">
      <c r="A124" s="65"/>
      <c r="B124" s="65"/>
      <c r="C124" s="65"/>
      <c r="D124" s="65"/>
    </row>
    <row r="125" spans="1:24" s="674" customFormat="1" ht="12.75">
      <c r="A125" s="65"/>
      <c r="B125" s="65"/>
      <c r="C125" s="65"/>
      <c r="D125" s="65"/>
    </row>
    <row r="126" spans="1:24" s="674" customFormat="1" ht="12.75">
      <c r="A126" s="65"/>
      <c r="B126" s="65"/>
      <c r="C126" s="65"/>
      <c r="D126" s="65"/>
    </row>
    <row r="127" spans="1:24" s="674" customFormat="1" ht="12.75">
      <c r="A127" s="65"/>
      <c r="B127" s="65"/>
      <c r="C127" s="65"/>
      <c r="D127" s="65"/>
    </row>
    <row r="128" spans="1:24" s="674" customFormat="1" ht="12.75">
      <c r="A128" s="65"/>
      <c r="B128" s="65"/>
      <c r="C128" s="65"/>
      <c r="D128" s="65"/>
    </row>
    <row r="129" spans="1:4" s="674" customFormat="1" ht="12.75">
      <c r="A129" s="65"/>
      <c r="B129" s="65"/>
      <c r="C129" s="65"/>
      <c r="D129" s="65"/>
    </row>
    <row r="130" spans="1:4" s="674" customFormat="1" ht="12.75">
      <c r="A130" s="65"/>
      <c r="B130" s="65"/>
      <c r="C130" s="65"/>
      <c r="D130" s="65"/>
    </row>
    <row r="131" spans="1:4" s="674" customFormat="1" ht="12.75">
      <c r="A131" s="65"/>
      <c r="B131" s="65"/>
      <c r="C131" s="65"/>
      <c r="D131" s="65"/>
    </row>
    <row r="132" spans="1:4" s="674" customFormat="1" ht="12.75">
      <c r="A132" s="65"/>
      <c r="B132" s="65"/>
      <c r="C132" s="65"/>
      <c r="D132" s="65"/>
    </row>
    <row r="133" spans="1:4" s="674" customFormat="1" ht="12.75">
      <c r="A133" s="65"/>
      <c r="B133" s="65"/>
      <c r="C133" s="65"/>
      <c r="D133" s="65"/>
    </row>
    <row r="134" spans="1:4" s="674" customFormat="1" ht="12.75">
      <c r="A134" s="65"/>
      <c r="B134" s="65"/>
      <c r="C134" s="65"/>
      <c r="D134" s="65"/>
    </row>
    <row r="135" spans="1:4" s="674" customFormat="1" ht="12.75">
      <c r="A135" s="65"/>
      <c r="B135" s="65"/>
      <c r="C135" s="65"/>
      <c r="D135" s="65"/>
    </row>
    <row r="136" spans="1:4" s="674" customFormat="1" ht="12.75">
      <c r="A136" s="65"/>
      <c r="B136" s="65"/>
      <c r="C136" s="65"/>
      <c r="D136" s="65"/>
    </row>
    <row r="137" spans="1:4" s="674" customFormat="1" ht="12.75">
      <c r="A137" s="65"/>
      <c r="B137" s="65"/>
      <c r="C137" s="65"/>
      <c r="D137" s="65"/>
    </row>
    <row r="138" spans="1:4" s="674" customFormat="1" ht="12.75">
      <c r="A138" s="65"/>
      <c r="B138" s="65"/>
      <c r="C138" s="65"/>
      <c r="D138" s="65"/>
    </row>
    <row r="139" spans="1:4" s="674" customFormat="1" ht="12.75">
      <c r="A139" s="65"/>
      <c r="B139" s="65"/>
      <c r="C139" s="65"/>
      <c r="D139" s="65"/>
    </row>
    <row r="140" spans="1:4" s="674" customFormat="1" ht="12.75">
      <c r="A140" s="65"/>
      <c r="B140" s="65"/>
      <c r="C140" s="65"/>
      <c r="D140" s="65"/>
    </row>
    <row r="141" spans="1:4" s="674" customFormat="1" ht="12.75">
      <c r="A141" s="65"/>
      <c r="B141" s="65"/>
      <c r="C141" s="65"/>
      <c r="D141" s="65"/>
    </row>
    <row r="142" spans="1:4" s="674" customFormat="1" ht="12.75">
      <c r="A142" s="65"/>
      <c r="B142" s="65"/>
      <c r="C142" s="65"/>
      <c r="D142" s="65"/>
    </row>
    <row r="143" spans="1:4" s="674" customFormat="1" ht="12.75">
      <c r="A143" s="65"/>
      <c r="B143" s="65"/>
      <c r="C143" s="65"/>
      <c r="D143" s="65"/>
    </row>
    <row r="144" spans="1:4" s="674" customFormat="1" ht="12.75">
      <c r="A144" s="65"/>
      <c r="B144" s="65"/>
      <c r="C144" s="65"/>
      <c r="D144" s="65"/>
    </row>
    <row r="145" spans="1:4" s="674" customFormat="1" ht="12.75">
      <c r="A145" s="65"/>
      <c r="B145" s="65"/>
      <c r="C145" s="65"/>
      <c r="D145" s="65"/>
    </row>
    <row r="146" spans="1:4" s="674" customFormat="1" ht="12.75">
      <c r="A146" s="65"/>
      <c r="B146" s="65"/>
      <c r="C146" s="65"/>
      <c r="D146" s="65"/>
    </row>
    <row r="147" spans="1:4" s="674" customFormat="1" ht="12.75">
      <c r="A147" s="65"/>
      <c r="B147" s="65"/>
      <c r="C147" s="65"/>
      <c r="D147" s="65"/>
    </row>
    <row r="148" spans="1:4" s="674" customFormat="1" ht="12.75">
      <c r="A148" s="65"/>
      <c r="B148" s="65"/>
      <c r="C148" s="65"/>
      <c r="D148" s="65"/>
    </row>
    <row r="149" spans="1:4" s="674" customFormat="1" ht="12.75">
      <c r="A149" s="65"/>
      <c r="B149" s="65"/>
      <c r="C149" s="65"/>
      <c r="D149" s="65"/>
    </row>
    <row r="150" spans="1:4" s="674" customFormat="1" ht="12.75">
      <c r="A150" s="65"/>
      <c r="B150" s="65"/>
      <c r="C150" s="65"/>
      <c r="D150" s="65"/>
    </row>
    <row r="151" spans="1:4" s="674" customFormat="1" ht="12.75">
      <c r="A151" s="65"/>
      <c r="B151" s="65"/>
      <c r="C151" s="65"/>
      <c r="D151" s="65"/>
    </row>
    <row r="152" spans="1:4" s="674" customFormat="1" ht="12.75">
      <c r="A152" s="65"/>
      <c r="B152" s="65"/>
      <c r="C152" s="65"/>
      <c r="D152" s="65"/>
    </row>
    <row r="153" spans="1:4" s="674" customFormat="1" ht="12.75">
      <c r="A153" s="65"/>
      <c r="B153" s="65"/>
      <c r="C153" s="65"/>
      <c r="D153" s="65"/>
    </row>
    <row r="154" spans="1:4" s="674" customFormat="1" ht="12.75">
      <c r="A154" s="65"/>
      <c r="B154" s="65"/>
      <c r="C154" s="65"/>
      <c r="D154" s="65"/>
    </row>
    <row r="155" spans="1:4" s="674" customFormat="1" ht="12.75">
      <c r="A155" s="65"/>
      <c r="B155" s="65"/>
      <c r="C155" s="65"/>
      <c r="D155" s="65"/>
    </row>
    <row r="156" spans="1:4" s="674" customFormat="1" ht="12.75">
      <c r="A156" s="65"/>
      <c r="B156" s="65"/>
      <c r="C156" s="65"/>
      <c r="D156" s="65"/>
    </row>
    <row r="157" spans="1:4" s="674" customFormat="1" ht="12.75">
      <c r="A157" s="65"/>
      <c r="B157" s="65"/>
      <c r="C157" s="65"/>
      <c r="D157" s="65"/>
    </row>
    <row r="158" spans="1:4" s="674" customFormat="1" ht="12.75">
      <c r="A158" s="65"/>
      <c r="B158" s="65"/>
      <c r="C158" s="65"/>
      <c r="D158" s="65"/>
    </row>
    <row r="159" spans="1:4" s="674" customFormat="1" ht="12.75">
      <c r="A159" s="65"/>
      <c r="B159" s="65"/>
      <c r="C159" s="65"/>
      <c r="D159" s="65"/>
    </row>
    <row r="160" spans="1:4" s="674" customFormat="1" ht="12.75">
      <c r="A160" s="65"/>
      <c r="B160" s="65"/>
      <c r="C160" s="65"/>
      <c r="D160" s="65"/>
    </row>
    <row r="161" spans="1:8" s="674" customFormat="1" ht="12.75">
      <c r="A161" s="65"/>
      <c r="B161" s="65"/>
      <c r="C161" s="65"/>
      <c r="D161" s="65"/>
    </row>
    <row r="162" spans="1:8" s="674" customFormat="1" ht="12.75">
      <c r="A162" s="65"/>
      <c r="B162" s="65"/>
      <c r="C162" s="65"/>
      <c r="D162" s="65"/>
    </row>
    <row r="163" spans="1:8" s="674" customFormat="1" ht="12.75">
      <c r="A163" s="65"/>
      <c r="B163" s="65"/>
      <c r="C163" s="65"/>
      <c r="D163" s="65"/>
    </row>
    <row r="164" spans="1:8" s="674" customFormat="1" ht="12.75">
      <c r="A164" s="65"/>
      <c r="B164" s="65"/>
      <c r="C164" s="65"/>
      <c r="D164" s="65"/>
    </row>
    <row r="165" spans="1:8" s="674" customFormat="1" ht="12.75">
      <c r="A165" s="65"/>
      <c r="B165" s="65"/>
      <c r="C165" s="65"/>
      <c r="D165" s="65"/>
    </row>
    <row r="166" spans="1:8" s="674" customFormat="1" ht="12.75">
      <c r="A166" s="65"/>
      <c r="B166" s="65"/>
      <c r="C166" s="65"/>
      <c r="D166" s="65"/>
    </row>
    <row r="167" spans="1:8" s="674" customFormat="1" ht="23.1" customHeight="1">
      <c r="A167" s="65"/>
      <c r="B167" s="65"/>
      <c r="C167" s="65"/>
      <c r="D167" s="65"/>
    </row>
    <row r="168" spans="1:8" s="674" customFormat="1" ht="23.1" customHeight="1">
      <c r="A168" s="65"/>
      <c r="B168" s="65"/>
      <c r="C168" s="65"/>
      <c r="D168" s="66"/>
      <c r="E168" s="675"/>
      <c r="F168" s="675"/>
    </row>
    <row r="169" spans="1:8" s="674" customFormat="1" ht="23.1" customHeight="1">
      <c r="A169" s="65"/>
      <c r="B169" s="65"/>
      <c r="C169" s="65"/>
      <c r="D169" s="66"/>
      <c r="E169" s="675"/>
      <c r="F169" s="675"/>
    </row>
    <row r="170" spans="1:8" s="674" customFormat="1" ht="23.1" customHeight="1">
      <c r="B170" s="65"/>
      <c r="C170" s="65"/>
      <c r="D170" s="66"/>
      <c r="E170" s="675"/>
      <c r="F170" s="675"/>
    </row>
    <row r="171" spans="1:8" s="674" customFormat="1" ht="23.1" customHeight="1">
      <c r="B171" s="65"/>
      <c r="C171" s="65"/>
      <c r="D171" s="66"/>
      <c r="E171" s="675"/>
      <c r="F171" s="675"/>
    </row>
    <row r="172" spans="1:8" s="674" customFormat="1" ht="23.1" customHeight="1">
      <c r="D172" s="675"/>
      <c r="E172" s="675"/>
      <c r="F172" s="675"/>
    </row>
    <row r="173" spans="1:8" s="674" customFormat="1" ht="23.1" customHeight="1">
      <c r="D173" s="675"/>
      <c r="E173" s="675"/>
      <c r="F173" s="675"/>
    </row>
    <row r="174" spans="1:8" s="674" customFormat="1" ht="23.1" customHeight="1">
      <c r="D174" s="675"/>
      <c r="E174" s="675"/>
      <c r="F174" s="675"/>
      <c r="G174" s="675"/>
      <c r="H174" s="675"/>
    </row>
    <row r="175" spans="1:8" s="674" customFormat="1" ht="23.1" customHeight="1">
      <c r="D175" s="675"/>
      <c r="E175" s="675"/>
      <c r="F175" s="675"/>
      <c r="G175" s="675"/>
      <c r="H175" s="675"/>
    </row>
    <row r="176" spans="1:8" s="674" customFormat="1" ht="23.1" customHeight="1">
      <c r="F176" s="675"/>
      <c r="G176" s="675"/>
      <c r="H176" s="675"/>
    </row>
    <row r="177" spans="2:24" s="674" customFormat="1" ht="23.1" customHeight="1">
      <c r="F177" s="675"/>
      <c r="G177" s="675"/>
      <c r="H177" s="675"/>
    </row>
    <row r="178" spans="2:24" ht="23.1" customHeight="1">
      <c r="B178" s="674"/>
      <c r="C178" s="674"/>
      <c r="D178" s="674"/>
      <c r="E178" s="674"/>
      <c r="F178" s="675"/>
      <c r="G178" s="675"/>
      <c r="H178" s="675"/>
      <c r="I178" s="674"/>
      <c r="J178" s="674"/>
      <c r="K178" s="674"/>
      <c r="L178" s="674"/>
      <c r="M178" s="674"/>
      <c r="N178" s="674"/>
      <c r="O178" s="674"/>
      <c r="P178" s="674"/>
      <c r="Q178" s="674"/>
      <c r="R178" s="674"/>
      <c r="S178" s="674"/>
      <c r="T178" s="674"/>
      <c r="U178" s="674"/>
      <c r="V178" s="674"/>
      <c r="W178" s="674"/>
      <c r="X178" s="674"/>
    </row>
    <row r="179" spans="2:24" ht="23.1" customHeight="1">
      <c r="B179" s="674"/>
      <c r="C179" s="674"/>
      <c r="D179" s="674"/>
      <c r="E179" s="674"/>
      <c r="F179" s="675"/>
      <c r="G179" s="675"/>
      <c r="H179" s="675"/>
      <c r="I179" s="674"/>
      <c r="J179" s="674"/>
      <c r="K179" s="674"/>
      <c r="L179" s="674"/>
      <c r="M179" s="674"/>
      <c r="N179" s="674"/>
      <c r="O179" s="674"/>
      <c r="P179" s="674"/>
      <c r="Q179" s="674"/>
      <c r="R179" s="674"/>
      <c r="S179" s="674"/>
      <c r="T179" s="674"/>
      <c r="U179" s="674"/>
      <c r="V179" s="674"/>
      <c r="W179" s="674"/>
      <c r="X179" s="674"/>
    </row>
  </sheetData>
  <sheetProtection sheet="1" objects="1" scenarios="1"/>
  <mergeCells count="16">
    <mergeCell ref="C92:D92"/>
    <mergeCell ref="C16:D16"/>
    <mergeCell ref="C35:D35"/>
    <mergeCell ref="C47:D47"/>
    <mergeCell ref="C61:D61"/>
    <mergeCell ref="C80:D80"/>
    <mergeCell ref="H6:H7"/>
    <mergeCell ref="D9:H9"/>
    <mergeCell ref="C12:D12"/>
    <mergeCell ref="C101:D101"/>
    <mergeCell ref="C112:D112"/>
    <mergeCell ref="C13:H13"/>
    <mergeCell ref="C15:D15"/>
    <mergeCell ref="C56:D56"/>
    <mergeCell ref="C60:D60"/>
    <mergeCell ref="C58:H58"/>
  </mergeCells>
  <phoneticPr fontId="5" type="noConversion"/>
  <dataValidations count="4">
    <dataValidation type="list" showDropDown="1" showInputMessage="1" showErrorMessage="1" sqref="C36:C43 C85:C88" xr:uid="{2183B814-2B31-49BD-A6A5-3B3C4F2810D8}">
      <formula1>$C$143:$C$157</formula1>
    </dataValidation>
    <dataValidation type="list" showDropDown="1" showInputMessage="1" showErrorMessage="1" sqref="C48:C55 C78:C79 C45:C46 C33:C34 C93:C100 C90:C91" xr:uid="{820AB2E5-C2DA-47C7-9AD0-EBAD57EB605D}">
      <formula1>$C$159:$C$167</formula1>
    </dataValidation>
    <dataValidation type="list" showDropDown="1" showInputMessage="1" showErrorMessage="1" sqref="C19:C34 C72:C79" xr:uid="{1658E513-1E82-47B1-B12E-1854F3EA28E1}">
      <formula1>$C$121:$C$141</formula1>
    </dataValidation>
    <dataValidation showDropDown="1" showInputMessage="1" showErrorMessage="1" sqref="C44:C46 C89:C91" xr:uid="{2CC06BFF-503E-42CF-A666-38A0678365B2}"/>
  </dataValidations>
  <printOptions horizontalCentered="1" verticalCentered="1"/>
  <pageMargins left="0.35629921259842523" right="0.35629921259842523" top="0.60629921259842523" bottom="0.60629921259842523" header="0.5" footer="0.5"/>
  <pageSetup paperSize="9" scale="28" orientation="portrait" horizontalDpi="4294967292" verticalDpi="4294967292" r:id="rId1"/>
  <ignoredErrors>
    <ignoredError sqref="E47 E35 E80 E92" emptyCellReference="1"/>
  </ignoredErrors>
  <drawing r:id="rId2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B8127AF-B7EC-487E-B84D-33091807A539}">
  <sheetPr codeName="Hoja20">
    <pageSetUpPr fitToPage="1"/>
  </sheetPr>
  <dimension ref="A2:X41"/>
  <sheetViews>
    <sheetView topLeftCell="A13" zoomScaleNormal="100" workbookViewId="0"/>
  </sheetViews>
  <sheetFormatPr baseColWidth="10" defaultColWidth="10.6640625" defaultRowHeight="23.1" customHeight="1"/>
  <cols>
    <col min="1" max="1" width="4.109375" style="65" bestFit="1" customWidth="1"/>
    <col min="2" max="2" width="3.109375" style="65" customWidth="1"/>
    <col min="3" max="4" width="13.5546875" style="65" customWidth="1"/>
    <col min="5" max="5" width="99.5546875" style="65" customWidth="1"/>
    <col min="6" max="8" width="17.6640625" style="66" customWidth="1"/>
    <col min="9" max="9" width="3.33203125" style="65" customWidth="1"/>
    <col min="10" max="16384" width="10.6640625" style="65"/>
  </cols>
  <sheetData>
    <row r="2" spans="1:24" ht="23.1" customHeight="1">
      <c r="E2" s="391" t="str">
        <f>_GENERAL!D2</f>
        <v>Área de la Presidenta: Igualdad y Diversidad, Hacienda y Proyectos Estratégicos</v>
      </c>
    </row>
    <row r="3" spans="1:24" ht="23.1" customHeight="1">
      <c r="E3" s="391" t="str">
        <f>_GENERAL!D3</f>
        <v>Dirección Insular de Hacienda</v>
      </c>
    </row>
    <row r="4" spans="1:24" ht="23.1" customHeight="1" thickBot="1">
      <c r="A4" s="65" t="s">
        <v>195</v>
      </c>
    </row>
    <row r="5" spans="1:24" ht="9" customHeight="1">
      <c r="B5" s="67"/>
      <c r="C5" s="68"/>
      <c r="D5" s="68"/>
      <c r="E5" s="68"/>
      <c r="F5" s="69"/>
      <c r="G5" s="69"/>
      <c r="H5" s="69"/>
      <c r="I5" s="70"/>
      <c r="K5" s="746"/>
      <c r="L5" s="747"/>
      <c r="M5" s="747"/>
      <c r="N5" s="747"/>
      <c r="O5" s="747"/>
      <c r="P5" s="747"/>
      <c r="Q5" s="747"/>
      <c r="R5" s="747"/>
      <c r="S5" s="747"/>
      <c r="T5" s="747"/>
      <c r="U5" s="747"/>
      <c r="V5" s="747"/>
      <c r="W5" s="747"/>
      <c r="X5" s="744"/>
    </row>
    <row r="6" spans="1:24" ht="30" customHeight="1">
      <c r="B6" s="71"/>
      <c r="C6" s="40" t="s">
        <v>2</v>
      </c>
      <c r="D6" s="40"/>
      <c r="H6" s="1212">
        <f>ejercicio</f>
        <v>2025</v>
      </c>
      <c r="I6" s="72"/>
      <c r="K6" s="751"/>
      <c r="L6" s="752"/>
      <c r="M6" s="752"/>
      <c r="N6" s="752"/>
      <c r="O6" s="752"/>
      <c r="P6" s="752"/>
      <c r="Q6" s="752"/>
      <c r="R6" s="752"/>
      <c r="S6" s="752"/>
      <c r="T6" s="752"/>
      <c r="U6" s="752"/>
      <c r="V6" s="752"/>
      <c r="W6" s="752"/>
      <c r="X6" s="255"/>
    </row>
    <row r="7" spans="1:24" ht="30" customHeight="1">
      <c r="B7" s="71"/>
      <c r="C7" s="40" t="s">
        <v>3</v>
      </c>
      <c r="D7" s="40"/>
      <c r="H7" s="1212"/>
      <c r="I7" s="72"/>
      <c r="K7" s="754"/>
      <c r="L7" s="755" t="s">
        <v>196</v>
      </c>
      <c r="M7" s="756"/>
      <c r="N7" s="756"/>
      <c r="O7" s="756"/>
      <c r="P7" s="756"/>
      <c r="Q7" s="756"/>
      <c r="R7" s="756"/>
      <c r="S7" s="756"/>
      <c r="T7" s="756"/>
      <c r="U7" s="756"/>
      <c r="V7" s="756"/>
      <c r="W7" s="756"/>
      <c r="X7" s="255"/>
    </row>
    <row r="8" spans="1:24" ht="30" customHeight="1">
      <c r="B8" s="71"/>
      <c r="C8" s="73"/>
      <c r="D8" s="73"/>
      <c r="H8" s="74"/>
      <c r="I8" s="72"/>
      <c r="K8" s="771"/>
      <c r="L8" s="772"/>
      <c r="M8" s="772"/>
      <c r="N8" s="772"/>
      <c r="O8" s="772"/>
      <c r="P8" s="772"/>
      <c r="Q8" s="772"/>
      <c r="R8" s="772"/>
      <c r="S8" s="772"/>
      <c r="T8" s="772"/>
      <c r="U8" s="772"/>
      <c r="V8" s="772"/>
      <c r="W8" s="772"/>
      <c r="X8" s="773"/>
    </row>
    <row r="9" spans="1:24" s="128" customFormat="1" ht="30" customHeight="1">
      <c r="A9" s="877"/>
      <c r="B9" s="905"/>
      <c r="C9" s="21" t="s">
        <v>105</v>
      </c>
      <c r="D9" s="21"/>
      <c r="E9" s="1229" t="str">
        <f>Entidad</f>
        <v>(MERCATENERIFE) Mercados Centrales de Abastecimiento de Tenerife, S.A.</v>
      </c>
      <c r="F9" s="1229"/>
      <c r="G9" s="1229"/>
      <c r="H9" s="1229"/>
      <c r="I9" s="904"/>
      <c r="J9" s="877"/>
      <c r="K9" s="771"/>
      <c r="L9" s="772"/>
      <c r="M9" s="772"/>
      <c r="N9" s="772"/>
      <c r="O9" s="772"/>
      <c r="P9" s="772"/>
      <c r="Q9" s="772"/>
      <c r="R9" s="772"/>
      <c r="S9" s="772"/>
      <c r="T9" s="772"/>
      <c r="U9" s="772"/>
      <c r="V9" s="772"/>
      <c r="W9" s="772"/>
      <c r="X9" s="773"/>
    </row>
    <row r="10" spans="1:24" ht="6.95" customHeight="1">
      <c r="B10" s="71"/>
      <c r="I10" s="72"/>
      <c r="K10" s="771"/>
      <c r="L10" s="772"/>
      <c r="M10" s="772"/>
      <c r="N10" s="772"/>
      <c r="O10" s="772"/>
      <c r="P10" s="772"/>
      <c r="Q10" s="772"/>
      <c r="R10" s="772"/>
      <c r="S10" s="772"/>
      <c r="T10" s="772"/>
      <c r="U10" s="772"/>
      <c r="V10" s="772"/>
      <c r="W10" s="772"/>
      <c r="X10" s="773"/>
    </row>
    <row r="11" spans="1:24" s="79" customFormat="1" ht="30" customHeight="1">
      <c r="B11" s="75"/>
      <c r="C11" s="76" t="s">
        <v>1156</v>
      </c>
      <c r="D11" s="76"/>
      <c r="E11" s="76"/>
      <c r="F11" s="77"/>
      <c r="G11" s="77"/>
      <c r="H11" s="77"/>
      <c r="I11" s="78"/>
      <c r="K11" s="771"/>
      <c r="L11" s="772"/>
      <c r="M11" s="772"/>
      <c r="N11" s="772"/>
      <c r="O11" s="772"/>
      <c r="P11" s="772"/>
      <c r="Q11" s="772"/>
      <c r="R11" s="772"/>
      <c r="S11" s="772"/>
      <c r="T11" s="772"/>
      <c r="U11" s="772"/>
      <c r="V11" s="772"/>
      <c r="W11" s="772"/>
      <c r="X11" s="773"/>
    </row>
    <row r="12" spans="1:24" s="79" customFormat="1" ht="30" customHeight="1">
      <c r="B12" s="75"/>
      <c r="C12" s="1237"/>
      <c r="D12" s="1237"/>
      <c r="E12" s="1237"/>
      <c r="F12" s="64"/>
      <c r="G12" s="64"/>
      <c r="H12" s="64"/>
      <c r="I12" s="78"/>
      <c r="K12" s="771"/>
      <c r="L12" s="772"/>
      <c r="M12" s="772"/>
      <c r="N12" s="772"/>
      <c r="O12" s="772"/>
      <c r="P12" s="772"/>
      <c r="Q12" s="772"/>
      <c r="R12" s="772"/>
      <c r="S12" s="772"/>
      <c r="T12" s="772"/>
      <c r="U12" s="772"/>
      <c r="V12" s="772"/>
      <c r="W12" s="772"/>
      <c r="X12" s="773"/>
    </row>
    <row r="13" spans="1:24" ht="29.1" customHeight="1">
      <c r="B13" s="80"/>
      <c r="C13" s="38" t="s">
        <v>1157</v>
      </c>
      <c r="D13" s="38"/>
      <c r="E13" s="906"/>
      <c r="F13" s="64"/>
      <c r="G13" s="64"/>
      <c r="H13" s="167"/>
      <c r="I13" s="72"/>
      <c r="K13" s="771"/>
      <c r="L13" s="772"/>
      <c r="M13" s="772"/>
      <c r="N13" s="772"/>
      <c r="O13" s="772"/>
      <c r="P13" s="772"/>
      <c r="Q13" s="772"/>
      <c r="R13" s="772"/>
      <c r="S13" s="772"/>
      <c r="T13" s="772"/>
      <c r="U13" s="772"/>
      <c r="V13" s="772"/>
      <c r="W13" s="772"/>
      <c r="X13" s="773"/>
    </row>
    <row r="14" spans="1:24" ht="9" customHeight="1">
      <c r="B14" s="80"/>
      <c r="C14" s="906"/>
      <c r="D14" s="906"/>
      <c r="E14" s="906"/>
      <c r="F14" s="64"/>
      <c r="G14" s="64"/>
      <c r="H14" s="64"/>
      <c r="I14" s="72"/>
      <c r="K14" s="771"/>
      <c r="L14" s="772"/>
      <c r="M14" s="772"/>
      <c r="N14" s="772"/>
      <c r="O14" s="772"/>
      <c r="P14" s="772"/>
      <c r="Q14" s="772"/>
      <c r="R14" s="772"/>
      <c r="S14" s="772"/>
      <c r="T14" s="772"/>
      <c r="U14" s="772"/>
      <c r="V14" s="772"/>
      <c r="W14" s="772"/>
      <c r="X14" s="773"/>
    </row>
    <row r="15" spans="1:24" s="157" customFormat="1" ht="23.1" customHeight="1">
      <c r="B15" s="158"/>
      <c r="C15" s="134" t="s">
        <v>1158</v>
      </c>
      <c r="D15" s="134"/>
      <c r="E15" s="159"/>
      <c r="F15" s="134" t="s">
        <v>966</v>
      </c>
      <c r="G15" s="134" t="s">
        <v>1159</v>
      </c>
      <c r="H15" s="134"/>
      <c r="I15" s="160"/>
      <c r="K15" s="771"/>
      <c r="L15" s="772"/>
      <c r="M15" s="772"/>
      <c r="N15" s="772"/>
      <c r="O15" s="772"/>
      <c r="P15" s="772"/>
      <c r="Q15" s="772"/>
      <c r="R15" s="772"/>
      <c r="S15" s="772"/>
      <c r="T15" s="772"/>
      <c r="U15" s="772"/>
      <c r="V15" s="772"/>
      <c r="W15" s="772"/>
      <c r="X15" s="773"/>
    </row>
    <row r="16" spans="1:24" s="157" customFormat="1" ht="24" customHeight="1">
      <c r="B16" s="158"/>
      <c r="C16" s="163" t="s">
        <v>1160</v>
      </c>
      <c r="D16" s="163" t="s">
        <v>1161</v>
      </c>
      <c r="E16" s="164" t="s">
        <v>1017</v>
      </c>
      <c r="F16" s="163" t="s">
        <v>1162</v>
      </c>
      <c r="G16" s="163">
        <f>ejercicio</f>
        <v>2025</v>
      </c>
      <c r="H16" s="163" t="s">
        <v>1163</v>
      </c>
      <c r="I16" s="160"/>
      <c r="K16" s="771"/>
      <c r="L16" s="772"/>
      <c r="M16" s="772"/>
      <c r="N16" s="772"/>
      <c r="O16" s="772"/>
      <c r="P16" s="772"/>
      <c r="Q16" s="772"/>
      <c r="R16" s="772"/>
      <c r="S16" s="772"/>
      <c r="T16" s="772"/>
      <c r="U16" s="772"/>
      <c r="V16" s="772"/>
      <c r="W16" s="772"/>
      <c r="X16" s="773"/>
    </row>
    <row r="17" spans="2:24" ht="23.1" customHeight="1">
      <c r="B17" s="80"/>
      <c r="C17" s="587"/>
      <c r="D17" s="587"/>
      <c r="E17" s="410"/>
      <c r="F17" s="926"/>
      <c r="G17" s="926"/>
      <c r="H17" s="705"/>
      <c r="I17" s="72"/>
      <c r="K17" s="771"/>
      <c r="L17" s="772"/>
      <c r="M17" s="772"/>
      <c r="N17" s="772"/>
      <c r="O17" s="772"/>
      <c r="P17" s="772"/>
      <c r="Q17" s="772"/>
      <c r="R17" s="772"/>
      <c r="S17" s="772"/>
      <c r="T17" s="772"/>
      <c r="U17" s="772"/>
      <c r="V17" s="772"/>
      <c r="W17" s="772"/>
      <c r="X17" s="773"/>
    </row>
    <row r="18" spans="2:24" ht="23.1" customHeight="1">
      <c r="B18" s="80"/>
      <c r="C18" s="587"/>
      <c r="D18" s="587"/>
      <c r="E18" s="410"/>
      <c r="F18" s="926"/>
      <c r="G18" s="926"/>
      <c r="H18" s="705"/>
      <c r="I18" s="72"/>
      <c r="K18" s="771"/>
      <c r="L18" s="772"/>
      <c r="M18" s="772"/>
      <c r="N18" s="772"/>
      <c r="O18" s="772"/>
      <c r="P18" s="772"/>
      <c r="Q18" s="772"/>
      <c r="R18" s="772"/>
      <c r="S18" s="772"/>
      <c r="T18" s="772"/>
      <c r="U18" s="772"/>
      <c r="V18" s="772"/>
      <c r="W18" s="772"/>
      <c r="X18" s="773"/>
    </row>
    <row r="19" spans="2:24" ht="23.1" customHeight="1">
      <c r="B19" s="80"/>
      <c r="C19" s="587"/>
      <c r="D19" s="587"/>
      <c r="E19" s="410"/>
      <c r="F19" s="926"/>
      <c r="G19" s="926"/>
      <c r="H19" s="705"/>
      <c r="I19" s="72"/>
      <c r="K19" s="771"/>
      <c r="L19" s="772"/>
      <c r="M19" s="772"/>
      <c r="N19" s="772"/>
      <c r="O19" s="772"/>
      <c r="P19" s="772"/>
      <c r="Q19" s="772"/>
      <c r="R19" s="772"/>
      <c r="S19" s="772"/>
      <c r="T19" s="772"/>
      <c r="U19" s="772"/>
      <c r="V19" s="772"/>
      <c r="W19" s="772"/>
      <c r="X19" s="773"/>
    </row>
    <row r="20" spans="2:24" ht="23.1" customHeight="1">
      <c r="B20" s="80"/>
      <c r="C20" s="587"/>
      <c r="D20" s="587"/>
      <c r="E20" s="410"/>
      <c r="F20" s="926"/>
      <c r="G20" s="926"/>
      <c r="H20" s="705"/>
      <c r="I20" s="72"/>
      <c r="K20" s="771"/>
      <c r="L20" s="772"/>
      <c r="M20" s="772"/>
      <c r="N20" s="772"/>
      <c r="O20" s="772"/>
      <c r="P20" s="772"/>
      <c r="Q20" s="772"/>
      <c r="R20" s="772"/>
      <c r="S20" s="772"/>
      <c r="T20" s="772"/>
      <c r="U20" s="772"/>
      <c r="V20" s="772"/>
      <c r="W20" s="772"/>
      <c r="X20" s="773"/>
    </row>
    <row r="21" spans="2:24" ht="23.1" customHeight="1">
      <c r="B21" s="80"/>
      <c r="C21" s="587"/>
      <c r="D21" s="587"/>
      <c r="E21" s="410"/>
      <c r="F21" s="926"/>
      <c r="G21" s="926"/>
      <c r="H21" s="705"/>
      <c r="I21" s="72"/>
      <c r="K21" s="771"/>
      <c r="L21" s="772"/>
      <c r="M21" s="772"/>
      <c r="N21" s="772"/>
      <c r="O21" s="772"/>
      <c r="P21" s="772"/>
      <c r="Q21" s="772"/>
      <c r="R21" s="772"/>
      <c r="S21" s="772"/>
      <c r="T21" s="772"/>
      <c r="U21" s="772"/>
      <c r="V21" s="772"/>
      <c r="W21" s="772"/>
      <c r="X21" s="773"/>
    </row>
    <row r="22" spans="2:24" ht="23.1" customHeight="1">
      <c r="B22" s="80"/>
      <c r="C22" s="587"/>
      <c r="D22" s="587"/>
      <c r="E22" s="410"/>
      <c r="F22" s="926"/>
      <c r="G22" s="926"/>
      <c r="H22" s="705"/>
      <c r="I22" s="72"/>
      <c r="K22" s="771"/>
      <c r="L22" s="772"/>
      <c r="M22" s="772"/>
      <c r="N22" s="772"/>
      <c r="O22" s="772"/>
      <c r="P22" s="772"/>
      <c r="Q22" s="772"/>
      <c r="R22" s="772"/>
      <c r="S22" s="772"/>
      <c r="T22" s="772"/>
      <c r="U22" s="772"/>
      <c r="V22" s="772"/>
      <c r="W22" s="772"/>
      <c r="X22" s="773"/>
    </row>
    <row r="23" spans="2:24" ht="23.1" customHeight="1">
      <c r="B23" s="80"/>
      <c r="C23" s="587"/>
      <c r="D23" s="587"/>
      <c r="E23" s="410"/>
      <c r="F23" s="926"/>
      <c r="G23" s="926"/>
      <c r="H23" s="705"/>
      <c r="I23" s="72"/>
      <c r="K23" s="771"/>
      <c r="L23" s="772"/>
      <c r="M23" s="772"/>
      <c r="N23" s="772"/>
      <c r="O23" s="772"/>
      <c r="P23" s="772"/>
      <c r="Q23" s="772"/>
      <c r="R23" s="772"/>
      <c r="S23" s="772"/>
      <c r="T23" s="772"/>
      <c r="U23" s="772"/>
      <c r="V23" s="772"/>
      <c r="W23" s="772"/>
      <c r="X23" s="773"/>
    </row>
    <row r="24" spans="2:24" ht="23.1" customHeight="1">
      <c r="B24" s="80"/>
      <c r="C24" s="587"/>
      <c r="D24" s="587"/>
      <c r="E24" s="410"/>
      <c r="F24" s="926"/>
      <c r="G24" s="926"/>
      <c r="H24" s="705"/>
      <c r="I24" s="72"/>
      <c r="K24" s="771"/>
      <c r="L24" s="772"/>
      <c r="M24" s="772"/>
      <c r="N24" s="772"/>
      <c r="O24" s="772"/>
      <c r="P24" s="772"/>
      <c r="Q24" s="772"/>
      <c r="R24" s="772"/>
      <c r="S24" s="772"/>
      <c r="T24" s="772"/>
      <c r="U24" s="772"/>
      <c r="V24" s="772"/>
      <c r="W24" s="772"/>
      <c r="X24" s="773"/>
    </row>
    <row r="25" spans="2:24" ht="23.1" customHeight="1">
      <c r="B25" s="80"/>
      <c r="C25" s="587"/>
      <c r="D25" s="587"/>
      <c r="E25" s="410"/>
      <c r="F25" s="926"/>
      <c r="G25" s="926"/>
      <c r="H25" s="705"/>
      <c r="I25" s="72"/>
      <c r="K25" s="771"/>
      <c r="L25" s="772"/>
      <c r="M25" s="772"/>
      <c r="N25" s="772"/>
      <c r="O25" s="772"/>
      <c r="P25" s="772"/>
      <c r="Q25" s="772"/>
      <c r="R25" s="772"/>
      <c r="S25" s="772"/>
      <c r="T25" s="772"/>
      <c r="U25" s="772"/>
      <c r="V25" s="772"/>
      <c r="W25" s="772"/>
      <c r="X25" s="773"/>
    </row>
    <row r="26" spans="2:24" ht="23.1" customHeight="1">
      <c r="B26" s="80"/>
      <c r="C26" s="587"/>
      <c r="D26" s="587"/>
      <c r="E26" s="410"/>
      <c r="F26" s="926"/>
      <c r="G26" s="926"/>
      <c r="H26" s="705"/>
      <c r="I26" s="72"/>
      <c r="K26" s="771"/>
      <c r="L26" s="772"/>
      <c r="M26" s="772"/>
      <c r="N26" s="772"/>
      <c r="O26" s="772"/>
      <c r="P26" s="772"/>
      <c r="Q26" s="772"/>
      <c r="R26" s="772"/>
      <c r="S26" s="772"/>
      <c r="T26" s="772"/>
      <c r="U26" s="772"/>
      <c r="V26" s="772"/>
      <c r="W26" s="772"/>
      <c r="X26" s="773"/>
    </row>
    <row r="27" spans="2:24" ht="23.1" customHeight="1">
      <c r="B27" s="80"/>
      <c r="C27" s="587"/>
      <c r="D27" s="587"/>
      <c r="E27" s="410"/>
      <c r="F27" s="926"/>
      <c r="G27" s="926"/>
      <c r="H27" s="705"/>
      <c r="I27" s="72"/>
      <c r="K27" s="771"/>
      <c r="L27" s="772"/>
      <c r="M27" s="772"/>
      <c r="N27" s="772"/>
      <c r="O27" s="772"/>
      <c r="P27" s="772"/>
      <c r="Q27" s="772"/>
      <c r="R27" s="772"/>
      <c r="S27" s="772"/>
      <c r="T27" s="772"/>
      <c r="U27" s="772"/>
      <c r="V27" s="772"/>
      <c r="W27" s="772"/>
      <c r="X27" s="773"/>
    </row>
    <row r="28" spans="2:24" ht="23.1" customHeight="1">
      <c r="B28" s="80"/>
      <c r="C28" s="587"/>
      <c r="D28" s="587"/>
      <c r="E28" s="410"/>
      <c r="F28" s="926"/>
      <c r="G28" s="926"/>
      <c r="H28" s="705"/>
      <c r="I28" s="72"/>
      <c r="K28" s="771"/>
      <c r="L28" s="772"/>
      <c r="M28" s="772"/>
      <c r="N28" s="772"/>
      <c r="O28" s="772"/>
      <c r="P28" s="772"/>
      <c r="Q28" s="772"/>
      <c r="R28" s="772"/>
      <c r="S28" s="772"/>
      <c r="T28" s="772"/>
      <c r="U28" s="772"/>
      <c r="V28" s="772"/>
      <c r="W28" s="772"/>
      <c r="X28" s="773"/>
    </row>
    <row r="29" spans="2:24" ht="23.1" customHeight="1">
      <c r="B29" s="80"/>
      <c r="C29" s="587"/>
      <c r="D29" s="587"/>
      <c r="E29" s="410"/>
      <c r="F29" s="926"/>
      <c r="G29" s="926"/>
      <c r="H29" s="705"/>
      <c r="I29" s="72"/>
      <c r="K29" s="771"/>
      <c r="L29" s="772"/>
      <c r="M29" s="772"/>
      <c r="N29" s="772"/>
      <c r="O29" s="772"/>
      <c r="P29" s="772"/>
      <c r="Q29" s="772"/>
      <c r="R29" s="772"/>
      <c r="S29" s="772"/>
      <c r="T29" s="772"/>
      <c r="U29" s="772"/>
      <c r="V29" s="772"/>
      <c r="W29" s="772"/>
      <c r="X29" s="773"/>
    </row>
    <row r="30" spans="2:24" ht="23.1" customHeight="1">
      <c r="B30" s="80"/>
      <c r="C30" s="587"/>
      <c r="D30" s="587"/>
      <c r="E30" s="410"/>
      <c r="F30" s="926"/>
      <c r="G30" s="926"/>
      <c r="H30" s="705"/>
      <c r="I30" s="72"/>
      <c r="K30" s="771"/>
      <c r="L30" s="772"/>
      <c r="M30" s="772"/>
      <c r="N30" s="772"/>
      <c r="O30" s="772"/>
      <c r="P30" s="772"/>
      <c r="Q30" s="772"/>
      <c r="R30" s="772"/>
      <c r="S30" s="772"/>
      <c r="T30" s="772"/>
      <c r="U30" s="772"/>
      <c r="V30" s="772"/>
      <c r="W30" s="772"/>
      <c r="X30" s="773"/>
    </row>
    <row r="31" spans="2:24" ht="23.1" customHeight="1">
      <c r="B31" s="80"/>
      <c r="C31" s="908"/>
      <c r="D31" s="908"/>
      <c r="E31" s="1031"/>
      <c r="F31" s="907"/>
      <c r="G31" s="907"/>
      <c r="H31" s="1066"/>
      <c r="I31" s="72"/>
      <c r="K31" s="771"/>
      <c r="L31" s="772"/>
      <c r="M31" s="772"/>
      <c r="N31" s="772"/>
      <c r="O31" s="772"/>
      <c r="P31" s="772"/>
      <c r="Q31" s="772"/>
      <c r="R31" s="772"/>
      <c r="S31" s="772"/>
      <c r="T31" s="772"/>
      <c r="U31" s="772"/>
      <c r="V31" s="772"/>
      <c r="W31" s="772"/>
      <c r="X31" s="773"/>
    </row>
    <row r="32" spans="2:24" ht="23.1" customHeight="1">
      <c r="B32" s="80"/>
      <c r="C32" s="912"/>
      <c r="D32" s="912"/>
      <c r="E32" s="1033"/>
      <c r="F32" s="911"/>
      <c r="G32" s="911"/>
      <c r="H32" s="1067"/>
      <c r="I32" s="72"/>
      <c r="K32" s="771"/>
      <c r="L32" s="772"/>
      <c r="M32" s="772"/>
      <c r="N32" s="772"/>
      <c r="O32" s="772"/>
      <c r="P32" s="772"/>
      <c r="Q32" s="772"/>
      <c r="R32" s="772"/>
      <c r="S32" s="772"/>
      <c r="T32" s="772"/>
      <c r="U32" s="772"/>
      <c r="V32" s="772"/>
      <c r="W32" s="772"/>
      <c r="X32" s="773"/>
    </row>
    <row r="33" spans="2:24" ht="23.1" customHeight="1" thickBot="1">
      <c r="B33" s="80"/>
      <c r="C33" s="597"/>
      <c r="D33" s="597"/>
      <c r="E33" s="151" t="s">
        <v>801</v>
      </c>
      <c r="F33" s="119">
        <f>SUM(F17:F32)</f>
        <v>0</v>
      </c>
      <c r="G33" s="119">
        <f>SUM(G17:G32)</f>
        <v>0</v>
      </c>
      <c r="H33" s="64"/>
      <c r="I33" s="72"/>
      <c r="K33" s="771"/>
      <c r="L33" s="772"/>
      <c r="M33" s="772"/>
      <c r="N33" s="772"/>
      <c r="O33" s="772"/>
      <c r="P33" s="772"/>
      <c r="Q33" s="772"/>
      <c r="R33" s="772"/>
      <c r="S33" s="772"/>
      <c r="T33" s="772"/>
      <c r="U33" s="772"/>
      <c r="V33" s="772"/>
      <c r="W33" s="772"/>
      <c r="X33" s="773"/>
    </row>
    <row r="34" spans="2:24" ht="23.1" customHeight="1">
      <c r="B34" s="80"/>
      <c r="C34" s="597"/>
      <c r="D34" s="597"/>
      <c r="E34" s="597"/>
      <c r="F34" s="150"/>
      <c r="G34" s="150"/>
      <c r="H34" s="64"/>
      <c r="I34" s="72"/>
      <c r="K34" s="771"/>
      <c r="L34" s="772"/>
      <c r="M34" s="772"/>
      <c r="N34" s="772"/>
      <c r="O34" s="772"/>
      <c r="P34" s="772"/>
      <c r="Q34" s="772"/>
      <c r="R34" s="772"/>
      <c r="S34" s="772"/>
      <c r="T34" s="772"/>
      <c r="U34" s="772"/>
      <c r="V34" s="772"/>
      <c r="W34" s="772"/>
      <c r="X34" s="773"/>
    </row>
    <row r="35" spans="2:24" ht="23.1" customHeight="1" thickBot="1">
      <c r="B35" s="83"/>
      <c r="C35" s="1228"/>
      <c r="D35" s="1228"/>
      <c r="E35" s="1228"/>
      <c r="F35" s="33"/>
      <c r="G35" s="33"/>
      <c r="H35" s="84"/>
      <c r="I35" s="85"/>
      <c r="K35" s="776"/>
      <c r="L35" s="777"/>
      <c r="M35" s="777"/>
      <c r="N35" s="777"/>
      <c r="O35" s="777"/>
      <c r="P35" s="777"/>
      <c r="Q35" s="777"/>
      <c r="R35" s="777"/>
      <c r="S35" s="777"/>
      <c r="T35" s="777"/>
      <c r="U35" s="777"/>
      <c r="V35" s="777"/>
      <c r="W35" s="777"/>
      <c r="X35" s="778"/>
    </row>
    <row r="36" spans="2:24" ht="23.1" customHeight="1">
      <c r="J36" s="65" t="s">
        <v>248</v>
      </c>
    </row>
    <row r="37" spans="2:24" ht="12.75">
      <c r="C37" s="86" t="s">
        <v>98</v>
      </c>
      <c r="D37" s="86"/>
      <c r="H37" s="63" t="s">
        <v>1164</v>
      </c>
    </row>
    <row r="38" spans="2:24" ht="12.75">
      <c r="C38" s="86" t="s">
        <v>100</v>
      </c>
      <c r="D38" s="86"/>
    </row>
    <row r="39" spans="2:24" ht="12.75">
      <c r="C39" s="86" t="s">
        <v>101</v>
      </c>
      <c r="D39" s="86"/>
    </row>
    <row r="40" spans="2:24" ht="12.75">
      <c r="C40" s="86" t="s">
        <v>102</v>
      </c>
      <c r="D40" s="86"/>
    </row>
    <row r="41" spans="2:24" ht="12.75">
      <c r="C41" s="86" t="s">
        <v>103</v>
      </c>
      <c r="D41" s="86"/>
    </row>
  </sheetData>
  <sheetProtection sheet="1" insertRows="0"/>
  <mergeCells count="4">
    <mergeCell ref="C35:E35"/>
    <mergeCell ref="H6:H7"/>
    <mergeCell ref="E9:H9"/>
    <mergeCell ref="C12:E12"/>
  </mergeCells>
  <phoneticPr fontId="5" type="noConversion"/>
  <printOptions horizontalCentered="1" verticalCentered="1"/>
  <pageMargins left="0.35629921259842523" right="0.35629921259842523" top="0.60629921259842523" bottom="0.60629921259842523" header="0.5" footer="0.5"/>
  <pageSetup paperSize="9" scale="43" orientation="portrait" horizontalDpi="4294967292" verticalDpi="4294967292" r:id="rId1"/>
  <drawing r:id="rId2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1A6DCF0-2A59-4182-99E0-E23F6208000D}">
  <sheetPr codeName="Hoja21">
    <pageSetUpPr fitToPage="1"/>
  </sheetPr>
  <dimension ref="A2:W89"/>
  <sheetViews>
    <sheetView topLeftCell="A27" zoomScaleNormal="100" workbookViewId="0">
      <selection activeCell="F42" sqref="F42"/>
    </sheetView>
  </sheetViews>
  <sheetFormatPr baseColWidth="10" defaultColWidth="10.6640625" defaultRowHeight="23.1" customHeight="1"/>
  <cols>
    <col min="1" max="1" width="4.109375" style="65" bestFit="1" customWidth="1"/>
    <col min="2" max="2" width="3.109375" style="65" customWidth="1"/>
    <col min="3" max="3" width="13.109375" style="65" customWidth="1"/>
    <col min="4" max="4" width="68" style="65" customWidth="1"/>
    <col min="5" max="5" width="17.6640625" style="66" customWidth="1"/>
    <col min="6" max="6" width="44.88671875" style="66" customWidth="1"/>
    <col min="7" max="7" width="10.6640625" style="66" customWidth="1"/>
    <col min="8" max="8" width="3.33203125" style="65" customWidth="1"/>
    <col min="9" max="16384" width="10.6640625" style="65"/>
  </cols>
  <sheetData>
    <row r="2" spans="1:23" ht="23.1" customHeight="1">
      <c r="D2" s="391" t="str">
        <f>_GENERAL!D2</f>
        <v>Área de la Presidenta: Igualdad y Diversidad, Hacienda y Proyectos Estratégicos</v>
      </c>
    </row>
    <row r="3" spans="1:23" ht="23.1" customHeight="1">
      <c r="D3" s="391" t="str">
        <f>_GENERAL!D3</f>
        <v>Dirección Insular de Hacienda</v>
      </c>
    </row>
    <row r="4" spans="1:23" ht="23.1" customHeight="1" thickBot="1">
      <c r="A4" s="65" t="s">
        <v>195</v>
      </c>
    </row>
    <row r="5" spans="1:23" ht="9" customHeight="1">
      <c r="B5" s="67"/>
      <c r="C5" s="68"/>
      <c r="D5" s="68"/>
      <c r="E5" s="69"/>
      <c r="F5" s="69"/>
      <c r="G5" s="69"/>
      <c r="H5" s="70"/>
      <c r="J5" s="746"/>
      <c r="K5" s="747"/>
      <c r="L5" s="747"/>
      <c r="M5" s="747"/>
      <c r="N5" s="747"/>
      <c r="O5" s="747"/>
      <c r="P5" s="747"/>
      <c r="Q5" s="747"/>
      <c r="R5" s="747"/>
      <c r="S5" s="747"/>
      <c r="T5" s="747"/>
      <c r="U5" s="747"/>
      <c r="V5" s="747"/>
      <c r="W5" s="744"/>
    </row>
    <row r="6" spans="1:23" ht="30" customHeight="1">
      <c r="B6" s="71"/>
      <c r="C6" s="40" t="s">
        <v>2</v>
      </c>
      <c r="G6" s="1212">
        <f>ejercicio</f>
        <v>2025</v>
      </c>
      <c r="H6" s="72"/>
      <c r="J6" s="754"/>
      <c r="K6" s="755" t="s">
        <v>196</v>
      </c>
      <c r="L6" s="756"/>
      <c r="M6" s="756"/>
      <c r="N6" s="756"/>
      <c r="O6" s="756"/>
      <c r="P6" s="756"/>
      <c r="Q6" s="756"/>
      <c r="R6" s="756"/>
      <c r="S6" s="756"/>
      <c r="T6" s="756"/>
      <c r="U6" s="756"/>
      <c r="V6" s="756"/>
      <c r="W6" s="255"/>
    </row>
    <row r="7" spans="1:23" ht="30" customHeight="1">
      <c r="B7" s="71"/>
      <c r="C7" s="40" t="s">
        <v>3</v>
      </c>
      <c r="G7" s="1212"/>
      <c r="H7" s="72"/>
      <c r="J7" s="771"/>
      <c r="K7" s="772"/>
      <c r="L7" s="772"/>
      <c r="M7" s="772"/>
      <c r="N7" s="772"/>
      <c r="O7" s="772"/>
      <c r="P7" s="772"/>
      <c r="Q7" s="772"/>
      <c r="R7" s="772"/>
      <c r="S7" s="772"/>
      <c r="T7" s="772"/>
      <c r="U7" s="772"/>
      <c r="V7" s="772"/>
      <c r="W7" s="773"/>
    </row>
    <row r="8" spans="1:23" ht="30" customHeight="1">
      <c r="B8" s="71"/>
      <c r="C8" s="73"/>
      <c r="G8" s="74"/>
      <c r="H8" s="72"/>
      <c r="J8" s="771"/>
      <c r="K8" s="772"/>
      <c r="L8" s="772"/>
      <c r="M8" s="772"/>
      <c r="N8" s="772"/>
      <c r="O8" s="772"/>
      <c r="P8" s="772"/>
      <c r="Q8" s="772"/>
      <c r="R8" s="772"/>
      <c r="S8" s="772"/>
      <c r="T8" s="772"/>
      <c r="U8" s="772"/>
      <c r="V8" s="772"/>
      <c r="W8" s="773"/>
    </row>
    <row r="9" spans="1:23" s="128" customFormat="1" ht="30" customHeight="1">
      <c r="A9" s="877"/>
      <c r="B9" s="905"/>
      <c r="C9" s="21" t="s">
        <v>105</v>
      </c>
      <c r="D9" s="1229" t="str">
        <f>Entidad</f>
        <v>(MERCATENERIFE) Mercados Centrales de Abastecimiento de Tenerife, S.A.</v>
      </c>
      <c r="E9" s="1229"/>
      <c r="F9" s="1229"/>
      <c r="G9" s="1229"/>
      <c r="H9" s="904"/>
      <c r="I9" s="877"/>
      <c r="J9" s="771"/>
      <c r="K9" s="772"/>
      <c r="L9" s="772"/>
      <c r="M9" s="772"/>
      <c r="N9" s="772"/>
      <c r="O9" s="772"/>
      <c r="P9" s="772"/>
      <c r="Q9" s="772"/>
      <c r="R9" s="772"/>
      <c r="S9" s="772"/>
      <c r="T9" s="772"/>
      <c r="U9" s="772"/>
      <c r="V9" s="772"/>
      <c r="W9" s="773"/>
    </row>
    <row r="10" spans="1:23" ht="6.95" customHeight="1">
      <c r="B10" s="71"/>
      <c r="H10" s="72"/>
      <c r="J10" s="771"/>
      <c r="K10" s="772"/>
      <c r="L10" s="772"/>
      <c r="M10" s="772"/>
      <c r="N10" s="772"/>
      <c r="O10" s="772"/>
      <c r="P10" s="772"/>
      <c r="Q10" s="772"/>
      <c r="R10" s="772"/>
      <c r="S10" s="772"/>
      <c r="T10" s="772"/>
      <c r="U10" s="772"/>
      <c r="V10" s="772"/>
      <c r="W10" s="773"/>
    </row>
    <row r="11" spans="1:23" s="79" customFormat="1" ht="30" customHeight="1">
      <c r="B11" s="75"/>
      <c r="C11" s="76" t="s">
        <v>1165</v>
      </c>
      <c r="D11" s="76"/>
      <c r="E11" s="77"/>
      <c r="F11" s="77"/>
      <c r="G11" s="77"/>
      <c r="H11" s="78"/>
      <c r="J11" s="754"/>
      <c r="K11" s="772"/>
      <c r="L11" s="772"/>
      <c r="M11" s="772"/>
      <c r="N11" s="772"/>
      <c r="O11" s="772"/>
      <c r="P11" s="772"/>
      <c r="Q11" s="772"/>
      <c r="R11" s="772"/>
      <c r="S11" s="772"/>
      <c r="T11" s="772"/>
      <c r="U11" s="772"/>
      <c r="V11" s="772"/>
      <c r="W11" s="773"/>
    </row>
    <row r="12" spans="1:23" s="79" customFormat="1" ht="30" customHeight="1">
      <c r="B12" s="75"/>
      <c r="C12" s="1237"/>
      <c r="D12" s="1237"/>
      <c r="E12" s="64"/>
      <c r="F12" s="64"/>
      <c r="G12" s="64"/>
      <c r="H12" s="78"/>
      <c r="J12" s="771"/>
      <c r="K12" s="772"/>
      <c r="L12" s="772"/>
      <c r="M12" s="772"/>
      <c r="N12" s="772"/>
      <c r="O12" s="772"/>
      <c r="P12" s="772"/>
      <c r="Q12" s="772"/>
      <c r="R12" s="772"/>
      <c r="S12" s="772"/>
      <c r="T12" s="772"/>
      <c r="U12" s="772"/>
      <c r="V12" s="772"/>
      <c r="W12" s="773"/>
    </row>
    <row r="13" spans="1:23" ht="29.1" customHeight="1">
      <c r="B13" s="80"/>
      <c r="C13" s="1134" t="str">
        <f ca="1">IF(_GENERAL!D15&lt;&gt;"Administración Pública","No aplica a entidades clasificadas como Entidad no financiera","")</f>
        <v>No aplica a entidades clasificadas como Entidad no financiera</v>
      </c>
      <c r="D13" s="906"/>
      <c r="E13" s="64"/>
      <c r="F13" s="64"/>
      <c r="G13" s="167"/>
      <c r="H13" s="72"/>
      <c r="J13" s="771"/>
      <c r="K13" s="772"/>
      <c r="L13" s="772"/>
      <c r="M13" s="772"/>
      <c r="N13" s="772"/>
      <c r="O13" s="772"/>
      <c r="P13" s="772"/>
      <c r="Q13" s="772"/>
      <c r="R13" s="772"/>
      <c r="S13" s="772"/>
      <c r="T13" s="772"/>
      <c r="U13" s="772"/>
      <c r="V13" s="772"/>
      <c r="W13" s="773"/>
    </row>
    <row r="14" spans="1:23" ht="9" customHeight="1">
      <c r="B14" s="80"/>
      <c r="C14" s="906"/>
      <c r="D14" s="906"/>
      <c r="E14" s="64"/>
      <c r="F14" s="64"/>
      <c r="G14" s="64"/>
      <c r="H14" s="72"/>
      <c r="J14" s="771"/>
      <c r="K14" s="772"/>
      <c r="L14" s="772"/>
      <c r="M14" s="772"/>
      <c r="N14" s="772"/>
      <c r="O14" s="772"/>
      <c r="P14" s="772"/>
      <c r="Q14" s="772"/>
      <c r="R14" s="772"/>
      <c r="S14" s="772"/>
      <c r="T14" s="772"/>
      <c r="U14" s="772"/>
      <c r="V14" s="772"/>
      <c r="W14" s="773"/>
    </row>
    <row r="15" spans="1:23" s="157" customFormat="1" ht="23.1" customHeight="1">
      <c r="B15" s="158"/>
      <c r="C15" s="170"/>
      <c r="D15" s="173"/>
      <c r="E15" s="134" t="s">
        <v>1166</v>
      </c>
      <c r="F15" s="170"/>
      <c r="G15" s="173"/>
      <c r="H15" s="160"/>
      <c r="J15" s="771"/>
      <c r="K15" s="772"/>
      <c r="L15" s="772"/>
      <c r="M15" s="772"/>
      <c r="N15" s="772"/>
      <c r="O15" s="772"/>
      <c r="P15" s="772"/>
      <c r="Q15" s="772"/>
      <c r="R15" s="772"/>
      <c r="S15" s="772"/>
      <c r="T15" s="772"/>
      <c r="U15" s="772"/>
      <c r="V15" s="772"/>
      <c r="W15" s="773"/>
    </row>
    <row r="16" spans="1:23" s="157" customFormat="1" ht="23.1" customHeight="1">
      <c r="B16" s="158"/>
      <c r="C16" s="171"/>
      <c r="D16" s="174"/>
      <c r="E16" s="161" t="s">
        <v>1167</v>
      </c>
      <c r="F16" s="171"/>
      <c r="G16" s="174"/>
      <c r="H16" s="160"/>
      <c r="J16" s="771"/>
      <c r="K16" s="772"/>
      <c r="L16" s="772"/>
      <c r="M16" s="772"/>
      <c r="N16" s="772"/>
      <c r="O16" s="772"/>
      <c r="P16" s="772"/>
      <c r="Q16" s="772"/>
      <c r="R16" s="772"/>
      <c r="S16" s="772"/>
      <c r="T16" s="772"/>
      <c r="U16" s="772"/>
      <c r="V16" s="772"/>
      <c r="W16" s="773"/>
    </row>
    <row r="17" spans="2:23" s="157" customFormat="1" ht="23.1" customHeight="1">
      <c r="B17" s="158"/>
      <c r="C17" s="171"/>
      <c r="D17" s="174"/>
      <c r="E17" s="161" t="s">
        <v>1168</v>
      </c>
      <c r="F17" s="171"/>
      <c r="G17" s="174"/>
      <c r="H17" s="160"/>
      <c r="J17" s="771"/>
      <c r="K17" s="772"/>
      <c r="L17" s="772"/>
      <c r="M17" s="772"/>
      <c r="N17" s="772"/>
      <c r="O17" s="772"/>
      <c r="P17" s="772"/>
      <c r="Q17" s="772"/>
      <c r="R17" s="772"/>
      <c r="S17" s="772"/>
      <c r="T17" s="772"/>
      <c r="U17" s="772"/>
      <c r="V17" s="772"/>
      <c r="W17" s="773"/>
    </row>
    <row r="18" spans="2:23" s="157" customFormat="1" ht="24" customHeight="1">
      <c r="B18" s="158"/>
      <c r="C18" s="1375" t="s">
        <v>1017</v>
      </c>
      <c r="D18" s="1376"/>
      <c r="E18" s="187">
        <f>ejercicio</f>
        <v>2025</v>
      </c>
      <c r="F18" s="172" t="s">
        <v>265</v>
      </c>
      <c r="G18" s="175"/>
      <c r="H18" s="160"/>
      <c r="J18" s="771"/>
      <c r="K18" s="772"/>
      <c r="L18" s="772"/>
      <c r="M18" s="772"/>
      <c r="N18" s="772"/>
      <c r="O18" s="772"/>
      <c r="P18" s="772"/>
      <c r="Q18" s="772"/>
      <c r="R18" s="772"/>
      <c r="S18" s="772"/>
      <c r="T18" s="772"/>
      <c r="U18" s="772"/>
      <c r="V18" s="772"/>
      <c r="W18" s="773"/>
    </row>
    <row r="19" spans="2:23" ht="9" customHeight="1">
      <c r="B19" s="80"/>
      <c r="C19" s="38"/>
      <c r="D19" s="906"/>
      <c r="E19" s="64"/>
      <c r="F19" s="64"/>
      <c r="G19" s="167"/>
      <c r="H19" s="72"/>
      <c r="J19" s="771"/>
      <c r="K19" s="772"/>
      <c r="L19" s="772"/>
      <c r="M19" s="772"/>
      <c r="N19" s="772"/>
      <c r="O19" s="772"/>
      <c r="P19" s="772"/>
      <c r="Q19" s="772"/>
      <c r="R19" s="772"/>
      <c r="S19" s="772"/>
      <c r="T19" s="772"/>
      <c r="U19" s="772"/>
      <c r="V19" s="772"/>
      <c r="W19" s="773"/>
    </row>
    <row r="20" spans="2:23" s="73" customFormat="1" ht="23.1" customHeight="1" thickBot="1">
      <c r="B20" s="114"/>
      <c r="C20" s="1451" t="s">
        <v>1169</v>
      </c>
      <c r="D20" s="1452"/>
      <c r="E20" s="178">
        <f>SUM(E21:E30)</f>
        <v>4655616.2600000007</v>
      </c>
      <c r="F20" s="1460"/>
      <c r="G20" s="1461"/>
      <c r="H20" s="89"/>
      <c r="J20" s="771"/>
      <c r="K20" s="772"/>
      <c r="L20" s="772"/>
      <c r="M20" s="772"/>
      <c r="N20" s="772"/>
      <c r="O20" s="772"/>
      <c r="P20" s="772"/>
      <c r="Q20" s="772"/>
      <c r="R20" s="772"/>
      <c r="S20" s="772"/>
      <c r="T20" s="772"/>
      <c r="U20" s="772"/>
      <c r="V20" s="772"/>
      <c r="W20" s="773"/>
    </row>
    <row r="21" spans="2:23" ht="23.1" customHeight="1">
      <c r="B21" s="80"/>
      <c r="C21" s="602" t="s">
        <v>1170</v>
      </c>
      <c r="D21" s="673"/>
      <c r="E21" s="932">
        <f>+'FC-3_CPyG'!H16</f>
        <v>4632553.3600000003</v>
      </c>
      <c r="F21" s="1462"/>
      <c r="G21" s="1463"/>
      <c r="H21" s="72"/>
      <c r="J21" s="771"/>
      <c r="K21" s="772"/>
      <c r="L21" s="772"/>
      <c r="M21" s="772"/>
      <c r="N21" s="772"/>
      <c r="O21" s="772"/>
      <c r="P21" s="772"/>
      <c r="Q21" s="772"/>
      <c r="R21" s="772"/>
      <c r="S21" s="772"/>
      <c r="T21" s="772"/>
      <c r="U21" s="772"/>
      <c r="V21" s="772"/>
      <c r="W21" s="773"/>
    </row>
    <row r="22" spans="2:23" ht="23.1" customHeight="1">
      <c r="B22" s="80"/>
      <c r="C22" s="602" t="s">
        <v>1171</v>
      </c>
      <c r="D22" s="673"/>
      <c r="E22" s="932">
        <f>+'FC-3_CPyG'!H21</f>
        <v>0</v>
      </c>
      <c r="F22" s="1288"/>
      <c r="G22" s="1290"/>
      <c r="H22" s="72"/>
      <c r="J22" s="771"/>
      <c r="K22" s="772"/>
      <c r="L22" s="772"/>
      <c r="M22" s="772"/>
      <c r="N22" s="772"/>
      <c r="O22" s="772"/>
      <c r="P22" s="772"/>
      <c r="Q22" s="772"/>
      <c r="R22" s="772"/>
      <c r="S22" s="772"/>
      <c r="T22" s="772"/>
      <c r="U22" s="772"/>
      <c r="V22" s="772"/>
      <c r="W22" s="773"/>
    </row>
    <row r="23" spans="2:23" ht="23.1" customHeight="1">
      <c r="B23" s="80"/>
      <c r="C23" s="602" t="s">
        <v>1172</v>
      </c>
      <c r="D23" s="673"/>
      <c r="E23" s="932">
        <f>+'FC-3_CPyG'!H28</f>
        <v>0</v>
      </c>
      <c r="F23" s="1288"/>
      <c r="G23" s="1290"/>
      <c r="H23" s="72"/>
      <c r="J23" s="771"/>
      <c r="K23" s="772"/>
      <c r="L23" s="772"/>
      <c r="M23" s="772"/>
      <c r="N23" s="772"/>
      <c r="O23" s="772"/>
      <c r="P23" s="772"/>
      <c r="Q23" s="772"/>
      <c r="R23" s="772"/>
      <c r="S23" s="772"/>
      <c r="T23" s="772"/>
      <c r="U23" s="772"/>
      <c r="V23" s="772"/>
      <c r="W23" s="773"/>
    </row>
    <row r="24" spans="2:23" ht="23.1" customHeight="1">
      <c r="B24" s="80"/>
      <c r="C24" s="602" t="s">
        <v>1173</v>
      </c>
      <c r="D24" s="673"/>
      <c r="E24" s="932">
        <f>'FC-9_TRANS_SUBV'!J74</f>
        <v>0</v>
      </c>
      <c r="F24" s="1288"/>
      <c r="G24" s="1290"/>
      <c r="H24" s="72"/>
      <c r="J24" s="771"/>
      <c r="K24" s="772"/>
      <c r="L24" s="772"/>
      <c r="M24" s="772"/>
      <c r="N24" s="772"/>
      <c r="O24" s="772"/>
      <c r="P24" s="772"/>
      <c r="Q24" s="772"/>
      <c r="R24" s="772"/>
      <c r="S24" s="772"/>
      <c r="T24" s="772"/>
      <c r="U24" s="772"/>
      <c r="V24" s="772"/>
      <c r="W24" s="773"/>
    </row>
    <row r="25" spans="2:23" ht="23.1" customHeight="1">
      <c r="B25" s="80"/>
      <c r="C25" s="602" t="s">
        <v>1174</v>
      </c>
      <c r="D25" s="673"/>
      <c r="E25" s="932">
        <f>+'FC-3_CPyG'!H72+'FC-3_CPyG'!H89+IF('FC-3_CPyG'!H90&gt;0,'FC-3_CPyG'!H90,0)</f>
        <v>0</v>
      </c>
      <c r="F25" s="1288"/>
      <c r="G25" s="1290"/>
      <c r="H25" s="72"/>
      <c r="J25" s="771"/>
      <c r="K25" s="772"/>
      <c r="L25" s="772"/>
      <c r="M25" s="772"/>
      <c r="N25" s="772"/>
      <c r="O25" s="772"/>
      <c r="P25" s="772"/>
      <c r="Q25" s="772"/>
      <c r="R25" s="772"/>
      <c r="S25" s="772"/>
      <c r="T25" s="772"/>
      <c r="U25" s="772"/>
      <c r="V25" s="772"/>
      <c r="W25" s="773"/>
    </row>
    <row r="26" spans="2:23" ht="23.1" customHeight="1">
      <c r="B26" s="80"/>
      <c r="C26" s="602" t="s">
        <v>1175</v>
      </c>
      <c r="D26" s="673"/>
      <c r="E26" s="932">
        <f>+'FC-3_CPyG'!H69</f>
        <v>23062.9</v>
      </c>
      <c r="F26" s="1288"/>
      <c r="G26" s="1290"/>
      <c r="H26" s="72"/>
      <c r="J26" s="771"/>
      <c r="K26" s="772"/>
      <c r="L26" s="772"/>
      <c r="M26" s="772"/>
      <c r="N26" s="772"/>
      <c r="O26" s="772"/>
      <c r="P26" s="772"/>
      <c r="Q26" s="772"/>
      <c r="R26" s="772"/>
      <c r="S26" s="772"/>
      <c r="T26" s="772"/>
      <c r="U26" s="772"/>
      <c r="V26" s="772"/>
      <c r="W26" s="773"/>
    </row>
    <row r="27" spans="2:23" ht="23.1" customHeight="1">
      <c r="B27" s="80"/>
      <c r="C27" s="602" t="s">
        <v>1176</v>
      </c>
      <c r="D27" s="673"/>
      <c r="E27" s="1068"/>
      <c r="F27" s="596" t="s">
        <v>1177</v>
      </c>
      <c r="G27" s="585"/>
      <c r="H27" s="72"/>
      <c r="J27" s="771"/>
      <c r="K27" s="772"/>
      <c r="L27" s="772"/>
      <c r="M27" s="772"/>
      <c r="N27" s="772"/>
      <c r="O27" s="772"/>
      <c r="P27" s="772"/>
      <c r="Q27" s="772"/>
      <c r="R27" s="772"/>
      <c r="S27" s="772"/>
      <c r="T27" s="772"/>
      <c r="U27" s="772"/>
      <c r="V27" s="772"/>
      <c r="W27" s="773"/>
    </row>
    <row r="28" spans="2:23" ht="23.1" customHeight="1">
      <c r="B28" s="80"/>
      <c r="C28" s="602" t="s">
        <v>394</v>
      </c>
      <c r="D28" s="673"/>
      <c r="E28" s="932">
        <f>+'FC-3_1_INF_ADIC_CPyG'!E48</f>
        <v>0</v>
      </c>
      <c r="F28" s="1288"/>
      <c r="G28" s="1290"/>
      <c r="H28" s="72"/>
      <c r="J28" s="771"/>
      <c r="K28" s="772"/>
      <c r="L28" s="772"/>
      <c r="M28" s="772"/>
      <c r="N28" s="772"/>
      <c r="O28" s="772"/>
      <c r="P28" s="772"/>
      <c r="Q28" s="772"/>
      <c r="R28" s="772"/>
      <c r="S28" s="772"/>
      <c r="T28" s="772"/>
      <c r="U28" s="772"/>
      <c r="V28" s="772"/>
      <c r="W28" s="773"/>
    </row>
    <row r="29" spans="2:23" ht="23.1" customHeight="1">
      <c r="B29" s="80"/>
      <c r="C29" s="1069" t="s">
        <v>1178</v>
      </c>
      <c r="D29" s="673"/>
      <c r="E29" s="932">
        <f>'FC-9_TRANS_SUBV'!N91+'FC-9_TRANS_SUBV'!H101</f>
        <v>0</v>
      </c>
      <c r="F29" s="1288"/>
      <c r="G29" s="1290"/>
      <c r="H29" s="72"/>
      <c r="J29" s="771"/>
      <c r="K29" s="772"/>
      <c r="L29" s="772"/>
      <c r="M29" s="772"/>
      <c r="N29" s="772"/>
      <c r="O29" s="772"/>
      <c r="P29" s="772"/>
      <c r="Q29" s="772"/>
      <c r="R29" s="772"/>
      <c r="S29" s="772"/>
      <c r="T29" s="772"/>
      <c r="U29" s="772"/>
      <c r="V29" s="772"/>
      <c r="W29" s="773"/>
    </row>
    <row r="30" spans="2:23" ht="23.1" customHeight="1">
      <c r="B30" s="80"/>
      <c r="C30" s="603" t="s">
        <v>1179</v>
      </c>
      <c r="D30" s="1049"/>
      <c r="E30" s="1070">
        <f>'FC-9_TRANS_SUBV'!N41</f>
        <v>0</v>
      </c>
      <c r="F30" s="1291"/>
      <c r="G30" s="1293"/>
      <c r="H30" s="72"/>
      <c r="J30" s="771"/>
      <c r="K30" s="772"/>
      <c r="L30" s="772"/>
      <c r="M30" s="772"/>
      <c r="N30" s="772"/>
      <c r="O30" s="772"/>
      <c r="P30" s="772"/>
      <c r="Q30" s="772"/>
      <c r="R30" s="772"/>
      <c r="S30" s="772"/>
      <c r="T30" s="772"/>
      <c r="U30" s="772"/>
      <c r="V30" s="772"/>
      <c r="W30" s="773"/>
    </row>
    <row r="31" spans="2:23" ht="9" customHeight="1">
      <c r="B31" s="80"/>
      <c r="C31" s="38"/>
      <c r="D31" s="906"/>
      <c r="E31" s="64"/>
      <c r="F31" s="64"/>
      <c r="G31" s="167"/>
      <c r="H31" s="72"/>
      <c r="J31" s="771"/>
      <c r="K31" s="772"/>
      <c r="L31" s="772"/>
      <c r="M31" s="772"/>
      <c r="N31" s="772"/>
      <c r="O31" s="772"/>
      <c r="P31" s="772"/>
      <c r="Q31" s="772"/>
      <c r="R31" s="772"/>
      <c r="S31" s="772"/>
      <c r="T31" s="772"/>
      <c r="U31" s="772"/>
      <c r="V31" s="772"/>
      <c r="W31" s="773"/>
    </row>
    <row r="32" spans="2:23" ht="23.1" customHeight="1" thickBot="1">
      <c r="B32" s="80"/>
      <c r="C32" s="1451" t="s">
        <v>1180</v>
      </c>
      <c r="D32" s="1452"/>
      <c r="E32" s="178">
        <f>SUM(E33:E44)</f>
        <v>-6954663.5</v>
      </c>
      <c r="F32" s="1460"/>
      <c r="G32" s="1461"/>
      <c r="H32" s="72"/>
      <c r="J32" s="771"/>
      <c r="K32" s="772"/>
      <c r="L32" s="772"/>
      <c r="M32" s="772"/>
      <c r="N32" s="772"/>
      <c r="O32" s="772"/>
      <c r="P32" s="772"/>
      <c r="Q32" s="772"/>
      <c r="R32" s="772"/>
      <c r="S32" s="772"/>
      <c r="T32" s="772"/>
      <c r="U32" s="772"/>
      <c r="V32" s="772"/>
      <c r="W32" s="773"/>
    </row>
    <row r="33" spans="2:23" ht="23.1" customHeight="1">
      <c r="B33" s="80"/>
      <c r="C33" s="602" t="s">
        <v>341</v>
      </c>
      <c r="D33" s="673"/>
      <c r="E33" s="932">
        <f>+'FC-3_CPyG'!H22</f>
        <v>-3927.7</v>
      </c>
      <c r="F33" s="1288"/>
      <c r="G33" s="1290"/>
      <c r="H33" s="72"/>
      <c r="J33" s="771"/>
      <c r="K33" s="772"/>
      <c r="L33" s="772"/>
      <c r="M33" s="772"/>
      <c r="N33" s="772"/>
      <c r="O33" s="772"/>
      <c r="P33" s="772"/>
      <c r="Q33" s="772"/>
      <c r="R33" s="772"/>
      <c r="S33" s="772"/>
      <c r="T33" s="772"/>
      <c r="U33" s="772"/>
      <c r="V33" s="772"/>
      <c r="W33" s="773"/>
    </row>
    <row r="34" spans="2:23" ht="23.1" customHeight="1">
      <c r="B34" s="80"/>
      <c r="C34" s="602" t="s">
        <v>1181</v>
      </c>
      <c r="D34" s="673"/>
      <c r="E34" s="932">
        <f>+'FC-3_CPyG'!H30</f>
        <v>-710015.65999999992</v>
      </c>
      <c r="F34" s="596"/>
      <c r="G34" s="585"/>
      <c r="H34" s="72"/>
      <c r="J34" s="771"/>
      <c r="K34" s="772"/>
      <c r="L34" s="772"/>
      <c r="M34" s="772"/>
      <c r="N34" s="772"/>
      <c r="O34" s="772"/>
      <c r="P34" s="772"/>
      <c r="Q34" s="772"/>
      <c r="R34" s="772"/>
      <c r="S34" s="772"/>
      <c r="T34" s="772"/>
      <c r="U34" s="772"/>
      <c r="V34" s="772"/>
      <c r="W34" s="773"/>
    </row>
    <row r="35" spans="2:23" ht="23.1" customHeight="1">
      <c r="B35" s="80"/>
      <c r="C35" s="602" t="s">
        <v>360</v>
      </c>
      <c r="D35" s="673"/>
      <c r="E35" s="932">
        <f>'FC-3_CPyG'!H37+'FC-3_CPyG'!H40+'FC-3_CPyG'!H41</f>
        <v>-1418575.74</v>
      </c>
      <c r="F35" s="596"/>
      <c r="G35" s="585"/>
      <c r="H35" s="72"/>
      <c r="J35" s="771"/>
      <c r="K35" s="772"/>
      <c r="L35" s="772"/>
      <c r="M35" s="772"/>
      <c r="N35" s="772"/>
      <c r="O35" s="772"/>
      <c r="P35" s="772"/>
      <c r="Q35" s="772"/>
      <c r="R35" s="772"/>
      <c r="S35" s="772"/>
      <c r="T35" s="772"/>
      <c r="U35" s="772"/>
      <c r="V35" s="772"/>
      <c r="W35" s="773"/>
    </row>
    <row r="36" spans="2:23" ht="23.1" customHeight="1">
      <c r="B36" s="80"/>
      <c r="C36" s="602" t="s">
        <v>1182</v>
      </c>
      <c r="D36" s="673"/>
      <c r="E36" s="932">
        <f>+'FC-3_CPyG'!H77+'FC-3_CPyG'!H78+'FC-3_CPyG'!H88+IF('FC-3_CPyG'!H90&lt;0,'FC-3_CPyG'!H90,0)</f>
        <v>0</v>
      </c>
      <c r="F36" s="596"/>
      <c r="G36" s="585"/>
      <c r="H36" s="72"/>
      <c r="J36" s="771"/>
      <c r="K36" s="772"/>
      <c r="L36" s="772"/>
      <c r="M36" s="772"/>
      <c r="N36" s="772"/>
      <c r="O36" s="772"/>
      <c r="P36" s="772"/>
      <c r="Q36" s="772"/>
      <c r="R36" s="772"/>
      <c r="S36" s="772"/>
      <c r="T36" s="772"/>
      <c r="U36" s="772"/>
      <c r="V36" s="772"/>
      <c r="W36" s="773"/>
    </row>
    <row r="37" spans="2:23" ht="23.1" customHeight="1">
      <c r="B37" s="80"/>
      <c r="C37" s="602" t="s">
        <v>1183</v>
      </c>
      <c r="D37" s="673"/>
      <c r="E37" s="932">
        <f>-'FC-3_1_INF_ADIC_CPyG'!E68-'FC-3_1_INF_ADIC_CPyG'!E69</f>
        <v>8668.59</v>
      </c>
      <c r="F37" s="596"/>
      <c r="G37" s="585"/>
      <c r="H37" s="72"/>
      <c r="J37" s="771"/>
      <c r="K37" s="772"/>
      <c r="L37" s="772"/>
      <c r="M37" s="772"/>
      <c r="N37" s="772"/>
      <c r="O37" s="772"/>
      <c r="P37" s="772"/>
      <c r="Q37" s="772"/>
      <c r="R37" s="772"/>
      <c r="S37" s="772"/>
      <c r="T37" s="772"/>
      <c r="U37" s="772"/>
      <c r="V37" s="772"/>
      <c r="W37" s="773"/>
    </row>
    <row r="38" spans="2:23" ht="23.1" customHeight="1">
      <c r="B38" s="80"/>
      <c r="C38" s="602" t="s">
        <v>1184</v>
      </c>
      <c r="D38" s="673"/>
      <c r="E38" s="932">
        <f>+'FC-3_CPyG'!H38</f>
        <v>-218812.99</v>
      </c>
      <c r="F38" s="596"/>
      <c r="G38" s="585"/>
      <c r="H38" s="72"/>
      <c r="J38" s="771"/>
      <c r="K38" s="772"/>
      <c r="L38" s="772"/>
      <c r="M38" s="772"/>
      <c r="N38" s="772"/>
      <c r="O38" s="772"/>
      <c r="P38" s="772"/>
      <c r="Q38" s="772"/>
      <c r="R38" s="772"/>
      <c r="S38" s="772"/>
      <c r="T38" s="772"/>
      <c r="U38" s="772"/>
      <c r="V38" s="772"/>
      <c r="W38" s="773"/>
    </row>
    <row r="39" spans="2:23" ht="23.1" customHeight="1">
      <c r="B39" s="80"/>
      <c r="C39" s="602" t="s">
        <v>1185</v>
      </c>
      <c r="D39" s="673"/>
      <c r="E39" s="932">
        <f>+'FC-3_1_INF_ADIC_CPyG'!E57</f>
        <v>0</v>
      </c>
      <c r="F39" s="596"/>
      <c r="G39" s="585"/>
      <c r="H39" s="72"/>
      <c r="J39" s="771"/>
      <c r="K39" s="772"/>
      <c r="L39" s="772"/>
      <c r="M39" s="772"/>
      <c r="N39" s="772"/>
      <c r="O39" s="772"/>
      <c r="P39" s="772"/>
      <c r="Q39" s="772"/>
      <c r="R39" s="772"/>
      <c r="S39" s="772"/>
      <c r="T39" s="772"/>
      <c r="U39" s="772"/>
      <c r="V39" s="772"/>
      <c r="W39" s="773"/>
    </row>
    <row r="40" spans="2:23" ht="23.1" customHeight="1">
      <c r="B40" s="80"/>
      <c r="C40" s="602" t="s">
        <v>1186</v>
      </c>
      <c r="D40" s="673"/>
      <c r="E40" s="1071">
        <f>-'FC-7_INF'!F31-'FC-7_INF'!H31+'FC-7_INF'!N31-'FC-7_INF'!F33-'FC-7_INF'!H33-'FC-7_INF'!K33</f>
        <v>-4612000</v>
      </c>
      <c r="F40" s="596"/>
      <c r="G40" s="585"/>
      <c r="H40" s="72"/>
      <c r="J40" s="771"/>
      <c r="K40" s="772"/>
      <c r="L40" s="772"/>
      <c r="M40" s="772"/>
      <c r="N40" s="772"/>
      <c r="O40" s="772"/>
      <c r="P40" s="772"/>
      <c r="Q40" s="772"/>
      <c r="R40" s="772"/>
      <c r="S40" s="772"/>
      <c r="T40" s="772"/>
      <c r="U40" s="772"/>
      <c r="V40" s="772"/>
      <c r="W40" s="773"/>
    </row>
    <row r="41" spans="2:23" ht="23.1" customHeight="1">
      <c r="B41" s="80"/>
      <c r="C41" s="602" t="s">
        <v>1187</v>
      </c>
      <c r="D41" s="673"/>
      <c r="E41" s="1071">
        <f>+'FC-3_CPyG'!H20</f>
        <v>0</v>
      </c>
      <c r="F41" s="596"/>
      <c r="G41" s="585"/>
      <c r="H41" s="72"/>
      <c r="J41" s="771"/>
      <c r="K41" s="772"/>
      <c r="L41" s="772"/>
      <c r="M41" s="772"/>
      <c r="N41" s="772"/>
      <c r="O41" s="772"/>
      <c r="P41" s="772"/>
      <c r="Q41" s="772"/>
      <c r="R41" s="772"/>
      <c r="S41" s="772"/>
      <c r="T41" s="772"/>
      <c r="U41" s="772"/>
      <c r="V41" s="772"/>
      <c r="W41" s="773"/>
    </row>
    <row r="42" spans="2:23" ht="23.1" customHeight="1">
      <c r="B42" s="80"/>
      <c r="C42" s="602" t="s">
        <v>1188</v>
      </c>
      <c r="D42" s="673"/>
      <c r="E42" s="1071">
        <f>'_FC-16_1_ INF_ADIC_ESTAB_PRESUP'!G19+'_FC-16_1_ INF_ADIC_ESTAB_PRESUP'!G28</f>
        <v>0</v>
      </c>
      <c r="F42" s="596"/>
      <c r="G42" s="585"/>
      <c r="H42" s="72"/>
      <c r="J42" s="771"/>
      <c r="K42" s="772"/>
      <c r="L42" s="772"/>
      <c r="M42" s="772"/>
      <c r="N42" s="772"/>
      <c r="O42" s="772"/>
      <c r="P42" s="772"/>
      <c r="Q42" s="772"/>
      <c r="R42" s="772"/>
      <c r="S42" s="772"/>
      <c r="T42" s="772"/>
      <c r="U42" s="772"/>
      <c r="V42" s="772"/>
      <c r="W42" s="773"/>
    </row>
    <row r="43" spans="2:23" ht="23.1" customHeight="1">
      <c r="B43" s="80"/>
      <c r="C43" s="602" t="s">
        <v>1189</v>
      </c>
      <c r="D43" s="673"/>
      <c r="E43" s="1068"/>
      <c r="F43" s="1288" t="s">
        <v>1177</v>
      </c>
      <c r="G43" s="1290" t="s">
        <v>1177</v>
      </c>
      <c r="H43" s="72"/>
      <c r="J43" s="771"/>
      <c r="K43" s="772"/>
      <c r="L43" s="772"/>
      <c r="M43" s="772"/>
      <c r="N43" s="772"/>
      <c r="O43" s="772"/>
      <c r="P43" s="772"/>
      <c r="Q43" s="772"/>
      <c r="R43" s="772"/>
      <c r="S43" s="772"/>
      <c r="T43" s="772"/>
      <c r="U43" s="772"/>
      <c r="V43" s="772"/>
      <c r="W43" s="773"/>
    </row>
    <row r="44" spans="2:23" ht="23.1" customHeight="1">
      <c r="B44" s="80"/>
      <c r="C44" s="603" t="s">
        <v>1190</v>
      </c>
      <c r="D44" s="1049"/>
      <c r="E44" s="1072">
        <f>-'FC-3_1_INF_ADIC_CPyG'!E89</f>
        <v>0</v>
      </c>
      <c r="F44" s="1291"/>
      <c r="G44" s="1293"/>
      <c r="H44" s="72"/>
      <c r="J44" s="794" t="str">
        <f>IF(E44=0,"","En el proceso de revisión del PAIF, si han habido ayudas concedidas, debe descontarse el importe en la correspondiente celda E33 a E43 en el que estuviese incluido su gasto")</f>
        <v/>
      </c>
      <c r="K44" s="772"/>
      <c r="L44" s="772"/>
      <c r="M44" s="772"/>
      <c r="N44" s="772"/>
      <c r="O44" s="772"/>
      <c r="P44" s="772"/>
      <c r="Q44" s="772"/>
      <c r="R44" s="772"/>
      <c r="S44" s="772"/>
      <c r="T44" s="772"/>
      <c r="U44" s="772"/>
      <c r="V44" s="772"/>
      <c r="W44" s="773"/>
    </row>
    <row r="45" spans="2:23" ht="9" customHeight="1">
      <c r="B45" s="80"/>
      <c r="C45" s="38"/>
      <c r="D45" s="906"/>
      <c r="E45" s="64"/>
      <c r="F45" s="64"/>
      <c r="G45" s="167"/>
      <c r="H45" s="72"/>
      <c r="J45" s="771"/>
      <c r="K45" s="772"/>
      <c r="L45" s="772"/>
      <c r="M45" s="772"/>
      <c r="N45" s="772"/>
      <c r="O45" s="772"/>
      <c r="P45" s="772"/>
      <c r="Q45" s="772"/>
      <c r="R45" s="772"/>
      <c r="S45" s="772"/>
      <c r="T45" s="772"/>
      <c r="U45" s="772"/>
      <c r="V45" s="772"/>
      <c r="W45" s="773"/>
    </row>
    <row r="46" spans="2:23" ht="23.1" customHeight="1" thickBot="1">
      <c r="B46" s="80"/>
      <c r="C46" s="111" t="s">
        <v>1191</v>
      </c>
      <c r="D46" s="188"/>
      <c r="E46" s="119">
        <f>+E20+E32</f>
        <v>-2299047.2399999993</v>
      </c>
      <c r="F46" s="64"/>
      <c r="G46" s="64"/>
      <c r="H46" s="72"/>
      <c r="J46" s="771"/>
      <c r="K46" s="772"/>
      <c r="L46" s="772"/>
      <c r="M46" s="772"/>
      <c r="N46" s="772"/>
      <c r="O46" s="772"/>
      <c r="P46" s="772"/>
      <c r="Q46" s="772"/>
      <c r="R46" s="772"/>
      <c r="S46" s="772"/>
      <c r="T46" s="772"/>
      <c r="U46" s="772"/>
      <c r="V46" s="772"/>
      <c r="W46" s="773"/>
    </row>
    <row r="47" spans="2:23" ht="23.1" customHeight="1">
      <c r="B47" s="80"/>
      <c r="C47" s="597"/>
      <c r="D47" s="597"/>
      <c r="E47" s="150"/>
      <c r="F47" s="150"/>
      <c r="G47" s="64"/>
      <c r="H47" s="72"/>
      <c r="J47" s="771"/>
      <c r="K47" s="772"/>
      <c r="L47" s="772"/>
      <c r="M47" s="772"/>
      <c r="N47" s="772"/>
      <c r="O47" s="772"/>
      <c r="P47" s="772"/>
      <c r="Q47" s="772"/>
      <c r="R47" s="772"/>
      <c r="S47" s="772"/>
      <c r="T47" s="772"/>
      <c r="U47" s="772"/>
      <c r="V47" s="772"/>
      <c r="W47" s="773"/>
    </row>
    <row r="48" spans="2:23" ht="23.1" customHeight="1">
      <c r="B48" s="80"/>
      <c r="C48" s="117" t="s">
        <v>317</v>
      </c>
      <c r="D48" s="597"/>
      <c r="E48" s="150"/>
      <c r="F48" s="150"/>
      <c r="G48" s="64"/>
      <c r="H48" s="72"/>
      <c r="J48" s="771"/>
      <c r="K48" s="772"/>
      <c r="L48" s="772"/>
      <c r="M48" s="772"/>
      <c r="N48" s="772"/>
      <c r="O48" s="772"/>
      <c r="P48" s="772"/>
      <c r="Q48" s="772"/>
      <c r="R48" s="772"/>
      <c r="S48" s="772"/>
      <c r="T48" s="772"/>
      <c r="U48" s="772"/>
      <c r="V48" s="772"/>
      <c r="W48" s="773"/>
    </row>
    <row r="49" spans="2:23" ht="23.1" customHeight="1">
      <c r="B49" s="80"/>
      <c r="C49" s="115" t="s">
        <v>1192</v>
      </c>
      <c r="D49" s="597"/>
      <c r="E49" s="150"/>
      <c r="F49" s="150"/>
      <c r="G49" s="64"/>
      <c r="H49" s="72"/>
      <c r="J49" s="771"/>
      <c r="K49" s="772"/>
      <c r="L49" s="772"/>
      <c r="M49" s="772"/>
      <c r="N49" s="772"/>
      <c r="O49" s="772"/>
      <c r="P49" s="772"/>
      <c r="Q49" s="772"/>
      <c r="R49" s="772"/>
      <c r="S49" s="772"/>
      <c r="T49" s="772"/>
      <c r="U49" s="772"/>
      <c r="V49" s="772"/>
      <c r="W49" s="773"/>
    </row>
    <row r="50" spans="2:23" ht="23.1" customHeight="1">
      <c r="B50" s="80"/>
      <c r="C50" s="115" t="s">
        <v>1193</v>
      </c>
      <c r="D50" s="597"/>
      <c r="E50" s="150"/>
      <c r="F50" s="150"/>
      <c r="G50" s="64"/>
      <c r="H50" s="72"/>
      <c r="J50" s="771"/>
      <c r="K50" s="772"/>
      <c r="L50" s="772"/>
      <c r="M50" s="772"/>
      <c r="N50" s="772"/>
      <c r="O50" s="772"/>
      <c r="P50" s="772"/>
      <c r="Q50" s="772"/>
      <c r="R50" s="772"/>
      <c r="S50" s="772"/>
      <c r="T50" s="772"/>
      <c r="U50" s="772"/>
      <c r="V50" s="772"/>
      <c r="W50" s="773"/>
    </row>
    <row r="51" spans="2:23" ht="23.1" customHeight="1">
      <c r="B51" s="80"/>
      <c r="C51" s="115" t="s">
        <v>1194</v>
      </c>
      <c r="D51" s="597"/>
      <c r="E51" s="150"/>
      <c r="F51" s="150"/>
      <c r="G51" s="64"/>
      <c r="H51" s="72"/>
      <c r="J51" s="771"/>
      <c r="K51" s="772"/>
      <c r="L51" s="772"/>
      <c r="M51" s="772"/>
      <c r="N51" s="772"/>
      <c r="O51" s="772"/>
      <c r="P51" s="772"/>
      <c r="Q51" s="772"/>
      <c r="R51" s="772"/>
      <c r="S51" s="772"/>
      <c r="T51" s="772"/>
      <c r="U51" s="772"/>
      <c r="V51" s="772"/>
      <c r="W51" s="773"/>
    </row>
    <row r="52" spans="2:23" ht="3.95" customHeight="1">
      <c r="B52" s="80"/>
      <c r="C52" s="115"/>
      <c r="D52" s="597"/>
      <c r="E52" s="150"/>
      <c r="F52" s="150"/>
      <c r="G52" s="64"/>
      <c r="H52" s="72"/>
      <c r="J52" s="771"/>
      <c r="K52" s="772"/>
      <c r="L52" s="772"/>
      <c r="M52" s="772"/>
      <c r="N52" s="772"/>
      <c r="O52" s="772"/>
      <c r="P52" s="772"/>
      <c r="Q52" s="772"/>
      <c r="R52" s="772"/>
      <c r="S52" s="772"/>
      <c r="T52" s="772"/>
      <c r="U52" s="772"/>
      <c r="V52" s="772"/>
      <c r="W52" s="773"/>
    </row>
    <row r="53" spans="2:23" ht="18">
      <c r="B53" s="80"/>
      <c r="C53" s="636" t="s">
        <v>1195</v>
      </c>
      <c r="E53" s="150"/>
      <c r="F53" s="150"/>
      <c r="G53" s="64"/>
      <c r="H53" s="72"/>
      <c r="J53" s="771"/>
      <c r="K53" s="772"/>
      <c r="L53" s="772"/>
      <c r="M53" s="772"/>
      <c r="N53" s="772"/>
      <c r="O53" s="772"/>
      <c r="P53" s="772"/>
      <c r="Q53" s="772"/>
      <c r="R53" s="772"/>
      <c r="S53" s="772"/>
      <c r="T53" s="772"/>
      <c r="U53" s="772"/>
      <c r="V53" s="772"/>
      <c r="W53" s="773"/>
    </row>
    <row r="54" spans="2:23" ht="18">
      <c r="B54" s="80"/>
      <c r="D54" s="115" t="s">
        <v>1196</v>
      </c>
      <c r="E54" s="150"/>
      <c r="F54" s="150"/>
      <c r="G54" s="64"/>
      <c r="H54" s="72"/>
      <c r="J54" s="771"/>
      <c r="K54" s="772"/>
      <c r="L54" s="772"/>
      <c r="M54" s="772"/>
      <c r="N54" s="772"/>
      <c r="O54" s="772"/>
      <c r="P54" s="772"/>
      <c r="Q54" s="772"/>
      <c r="R54" s="772"/>
      <c r="S54" s="772"/>
      <c r="T54" s="772"/>
      <c r="U54" s="772"/>
      <c r="V54" s="772"/>
      <c r="W54" s="773"/>
    </row>
    <row r="55" spans="2:23" ht="18">
      <c r="B55" s="80"/>
      <c r="D55" s="115" t="s">
        <v>1197</v>
      </c>
      <c r="E55" s="150"/>
      <c r="F55" s="150"/>
      <c r="G55" s="64"/>
      <c r="H55" s="72"/>
      <c r="J55" s="771"/>
      <c r="K55" s="772"/>
      <c r="L55" s="772"/>
      <c r="M55" s="772"/>
      <c r="N55" s="772"/>
      <c r="O55" s="772"/>
      <c r="P55" s="772"/>
      <c r="Q55" s="772"/>
      <c r="R55" s="772"/>
      <c r="S55" s="772"/>
      <c r="T55" s="772"/>
      <c r="U55" s="772"/>
      <c r="V55" s="772"/>
      <c r="W55" s="773"/>
    </row>
    <row r="56" spans="2:23" ht="18">
      <c r="B56" s="80"/>
      <c r="D56" s="115" t="s">
        <v>1198</v>
      </c>
      <c r="E56" s="150"/>
      <c r="F56" s="150"/>
      <c r="G56" s="64"/>
      <c r="H56" s="72"/>
      <c r="J56" s="771"/>
      <c r="K56" s="772"/>
      <c r="L56" s="772"/>
      <c r="M56" s="772"/>
      <c r="N56" s="772"/>
      <c r="O56" s="772"/>
      <c r="P56" s="772"/>
      <c r="Q56" s="772"/>
      <c r="R56" s="772"/>
      <c r="S56" s="772"/>
      <c r="T56" s="772"/>
      <c r="U56" s="772"/>
      <c r="V56" s="772"/>
      <c r="W56" s="773"/>
    </row>
    <row r="57" spans="2:23" ht="18">
      <c r="B57" s="80"/>
      <c r="D57" s="115" t="s">
        <v>1199</v>
      </c>
      <c r="E57" s="150"/>
      <c r="F57" s="150"/>
      <c r="G57" s="64"/>
      <c r="H57" s="72"/>
      <c r="J57" s="771"/>
      <c r="K57" s="772"/>
      <c r="L57" s="772"/>
      <c r="M57" s="772"/>
      <c r="N57" s="772"/>
      <c r="O57" s="772"/>
      <c r="P57" s="772"/>
      <c r="Q57" s="772"/>
      <c r="R57" s="772"/>
      <c r="S57" s="772"/>
      <c r="T57" s="772"/>
      <c r="U57" s="772"/>
      <c r="V57" s="772"/>
      <c r="W57" s="773"/>
    </row>
    <row r="58" spans="2:23" ht="18">
      <c r="B58" s="80"/>
      <c r="C58" s="636" t="s">
        <v>1200</v>
      </c>
      <c r="E58" s="150"/>
      <c r="F58" s="150"/>
      <c r="G58" s="64"/>
      <c r="H58" s="72"/>
      <c r="J58" s="771"/>
      <c r="K58" s="772"/>
      <c r="L58" s="772"/>
      <c r="M58" s="772"/>
      <c r="N58" s="772"/>
      <c r="O58" s="772"/>
      <c r="P58" s="772"/>
      <c r="Q58" s="772"/>
      <c r="R58" s="772"/>
      <c r="S58" s="772"/>
      <c r="T58" s="772"/>
      <c r="U58" s="772"/>
      <c r="V58" s="772"/>
      <c r="W58" s="773"/>
    </row>
    <row r="59" spans="2:23" ht="18">
      <c r="B59" s="80"/>
      <c r="D59" s="115" t="s">
        <v>1115</v>
      </c>
      <c r="E59" s="150"/>
      <c r="F59" s="150"/>
      <c r="G59" s="64"/>
      <c r="H59" s="72"/>
      <c r="J59" s="771"/>
      <c r="K59" s="772"/>
      <c r="L59" s="772"/>
      <c r="M59" s="772"/>
      <c r="N59" s="772"/>
      <c r="O59" s="772"/>
      <c r="P59" s="772"/>
      <c r="Q59" s="772"/>
      <c r="R59" s="772"/>
      <c r="S59" s="772"/>
      <c r="T59" s="772"/>
      <c r="U59" s="772"/>
      <c r="V59" s="772"/>
      <c r="W59" s="773"/>
    </row>
    <row r="60" spans="2:23" ht="18">
      <c r="B60" s="80"/>
      <c r="C60" s="636" t="s">
        <v>1201</v>
      </c>
      <c r="E60" s="150"/>
      <c r="F60" s="150"/>
      <c r="G60" s="64"/>
      <c r="H60" s="72"/>
      <c r="J60" s="771"/>
      <c r="K60" s="772"/>
      <c r="L60" s="772"/>
      <c r="M60" s="772"/>
      <c r="N60" s="772"/>
      <c r="O60" s="772"/>
      <c r="P60" s="772"/>
      <c r="Q60" s="772"/>
      <c r="R60" s="772"/>
      <c r="S60" s="772"/>
      <c r="T60" s="772"/>
      <c r="U60" s="772"/>
      <c r="V60" s="772"/>
      <c r="W60" s="773"/>
    </row>
    <row r="61" spans="2:23" ht="18">
      <c r="B61" s="80"/>
      <c r="D61" s="115" t="s">
        <v>1202</v>
      </c>
      <c r="E61" s="150"/>
      <c r="F61" s="150"/>
      <c r="G61" s="64"/>
      <c r="H61" s="72"/>
      <c r="J61" s="771"/>
      <c r="K61" s="772"/>
      <c r="L61" s="772"/>
      <c r="M61" s="772"/>
      <c r="N61" s="772"/>
      <c r="O61" s="772"/>
      <c r="P61" s="772"/>
      <c r="Q61" s="772"/>
      <c r="R61" s="772"/>
      <c r="S61" s="772"/>
      <c r="T61" s="772"/>
      <c r="U61" s="772"/>
      <c r="V61" s="772"/>
      <c r="W61" s="773"/>
    </row>
    <row r="62" spans="2:23" ht="18">
      <c r="B62" s="80"/>
      <c r="D62" s="115" t="s">
        <v>1203</v>
      </c>
      <c r="E62" s="150"/>
      <c r="F62" s="150"/>
      <c r="G62" s="64"/>
      <c r="H62" s="72"/>
      <c r="J62" s="771"/>
      <c r="K62" s="772"/>
      <c r="L62" s="772"/>
      <c r="M62" s="772"/>
      <c r="N62" s="772"/>
      <c r="O62" s="772"/>
      <c r="P62" s="772"/>
      <c r="Q62" s="772"/>
      <c r="R62" s="772"/>
      <c r="S62" s="772"/>
      <c r="T62" s="772"/>
      <c r="U62" s="772"/>
      <c r="V62" s="772"/>
      <c r="W62" s="773"/>
    </row>
    <row r="63" spans="2:23" ht="18">
      <c r="B63" s="80"/>
      <c r="D63" s="115" t="s">
        <v>1204</v>
      </c>
      <c r="E63" s="150"/>
      <c r="F63" s="150"/>
      <c r="G63" s="64"/>
      <c r="H63" s="72"/>
      <c r="J63" s="771"/>
      <c r="K63" s="772"/>
      <c r="L63" s="772"/>
      <c r="M63" s="772"/>
      <c r="N63" s="772"/>
      <c r="O63" s="772"/>
      <c r="P63" s="772"/>
      <c r="Q63" s="772"/>
      <c r="R63" s="772"/>
      <c r="S63" s="772"/>
      <c r="T63" s="772"/>
      <c r="U63" s="772"/>
      <c r="V63" s="772"/>
      <c r="W63" s="773"/>
    </row>
    <row r="64" spans="2:23" ht="18">
      <c r="B64" s="80"/>
      <c r="D64" s="115" t="s">
        <v>1205</v>
      </c>
      <c r="E64" s="150"/>
      <c r="F64" s="150"/>
      <c r="G64" s="64"/>
      <c r="H64" s="72"/>
      <c r="J64" s="771"/>
      <c r="K64" s="772"/>
      <c r="L64" s="772"/>
      <c r="M64" s="772"/>
      <c r="N64" s="772"/>
      <c r="O64" s="772"/>
      <c r="P64" s="772"/>
      <c r="Q64" s="772"/>
      <c r="R64" s="772"/>
      <c r="S64" s="772"/>
      <c r="T64" s="772"/>
      <c r="U64" s="772"/>
      <c r="V64" s="772"/>
      <c r="W64" s="773"/>
    </row>
    <row r="65" spans="2:23" ht="18">
      <c r="B65" s="80"/>
      <c r="C65" s="636" t="s">
        <v>1206</v>
      </c>
      <c r="E65" s="150"/>
      <c r="F65" s="150"/>
      <c r="G65" s="64"/>
      <c r="H65" s="72"/>
      <c r="J65" s="771"/>
      <c r="K65" s="772"/>
      <c r="L65" s="772"/>
      <c r="M65" s="772"/>
      <c r="N65" s="772"/>
      <c r="O65" s="772"/>
      <c r="P65" s="772"/>
      <c r="Q65" s="772"/>
      <c r="R65" s="772"/>
      <c r="S65" s="772"/>
      <c r="T65" s="772"/>
      <c r="U65" s="772"/>
      <c r="V65" s="772"/>
      <c r="W65" s="773"/>
    </row>
    <row r="66" spans="2:23" ht="18">
      <c r="B66" s="80"/>
      <c r="D66" s="115" t="s">
        <v>1207</v>
      </c>
      <c r="E66" s="150"/>
      <c r="F66" s="150"/>
      <c r="G66" s="64"/>
      <c r="H66" s="72"/>
      <c r="J66" s="771"/>
      <c r="K66" s="772"/>
      <c r="L66" s="772"/>
      <c r="M66" s="772"/>
      <c r="N66" s="772"/>
      <c r="O66" s="772"/>
      <c r="P66" s="772"/>
      <c r="Q66" s="772"/>
      <c r="R66" s="772"/>
      <c r="S66" s="772"/>
      <c r="T66" s="772"/>
      <c r="U66" s="772"/>
      <c r="V66" s="772"/>
      <c r="W66" s="773"/>
    </row>
    <row r="67" spans="2:23" ht="18">
      <c r="B67" s="80"/>
      <c r="D67" s="115" t="s">
        <v>1208</v>
      </c>
      <c r="E67" s="150"/>
      <c r="F67" s="150"/>
      <c r="G67" s="64"/>
      <c r="H67" s="72"/>
      <c r="J67" s="771"/>
      <c r="K67" s="772"/>
      <c r="L67" s="772"/>
      <c r="M67" s="772"/>
      <c r="N67" s="772"/>
      <c r="O67" s="772"/>
      <c r="P67" s="772"/>
      <c r="Q67" s="772"/>
      <c r="R67" s="772"/>
      <c r="S67" s="772"/>
      <c r="T67" s="772"/>
      <c r="U67" s="772"/>
      <c r="V67" s="772"/>
      <c r="W67" s="773"/>
    </row>
    <row r="68" spans="2:23" ht="18">
      <c r="B68" s="80"/>
      <c r="D68" s="115" t="s">
        <v>1130</v>
      </c>
      <c r="E68" s="150"/>
      <c r="F68" s="150"/>
      <c r="G68" s="64"/>
      <c r="H68" s="72"/>
      <c r="J68" s="771"/>
      <c r="K68" s="772"/>
      <c r="L68" s="772"/>
      <c r="M68" s="772"/>
      <c r="N68" s="772"/>
      <c r="O68" s="772"/>
      <c r="P68" s="772"/>
      <c r="Q68" s="772"/>
      <c r="R68" s="772"/>
      <c r="S68" s="772"/>
      <c r="T68" s="772"/>
      <c r="U68" s="772"/>
      <c r="V68" s="772"/>
      <c r="W68" s="773"/>
    </row>
    <row r="69" spans="2:23" ht="18">
      <c r="B69" s="80"/>
      <c r="D69" s="115" t="s">
        <v>1209</v>
      </c>
      <c r="E69" s="150"/>
      <c r="F69" s="150"/>
      <c r="G69" s="64"/>
      <c r="H69" s="72"/>
      <c r="J69" s="771"/>
      <c r="K69" s="772"/>
      <c r="L69" s="772"/>
      <c r="M69" s="772"/>
      <c r="N69" s="772"/>
      <c r="O69" s="772"/>
      <c r="P69" s="772"/>
      <c r="Q69" s="772"/>
      <c r="R69" s="772"/>
      <c r="S69" s="772"/>
      <c r="T69" s="772"/>
      <c r="U69" s="772"/>
      <c r="V69" s="772"/>
      <c r="W69" s="773"/>
    </row>
    <row r="70" spans="2:23" ht="18">
      <c r="B70" s="80"/>
      <c r="D70" s="115" t="s">
        <v>1210</v>
      </c>
      <c r="E70" s="150"/>
      <c r="F70" s="150"/>
      <c r="G70" s="64"/>
      <c r="H70" s="72"/>
      <c r="J70" s="771"/>
      <c r="K70" s="772"/>
      <c r="L70" s="772"/>
      <c r="M70" s="772"/>
      <c r="N70" s="772"/>
      <c r="O70" s="772"/>
      <c r="P70" s="772"/>
      <c r="Q70" s="772"/>
      <c r="R70" s="772"/>
      <c r="S70" s="772"/>
      <c r="T70" s="772"/>
      <c r="U70" s="772"/>
      <c r="V70" s="772"/>
      <c r="W70" s="773"/>
    </row>
    <row r="71" spans="2:23" ht="18">
      <c r="B71" s="80"/>
      <c r="C71" s="636" t="s">
        <v>1211</v>
      </c>
      <c r="E71" s="150"/>
      <c r="F71" s="150"/>
      <c r="G71" s="64"/>
      <c r="H71" s="72"/>
      <c r="J71" s="771"/>
      <c r="K71" s="772"/>
      <c r="L71" s="772"/>
      <c r="M71" s="772"/>
      <c r="N71" s="772"/>
      <c r="O71" s="772"/>
      <c r="P71" s="772"/>
      <c r="Q71" s="772"/>
      <c r="R71" s="772"/>
      <c r="S71" s="772"/>
      <c r="T71" s="772"/>
      <c r="U71" s="772"/>
      <c r="V71" s="772"/>
      <c r="W71" s="773"/>
    </row>
    <row r="72" spans="2:23" ht="18">
      <c r="B72" s="80"/>
      <c r="D72" s="115" t="s">
        <v>1212</v>
      </c>
      <c r="E72" s="150"/>
      <c r="F72" s="150"/>
      <c r="G72" s="64"/>
      <c r="H72" s="72"/>
      <c r="J72" s="771"/>
      <c r="K72" s="772"/>
      <c r="L72" s="772"/>
      <c r="M72" s="772"/>
      <c r="N72" s="772"/>
      <c r="O72" s="772"/>
      <c r="P72" s="772"/>
      <c r="Q72" s="772"/>
      <c r="R72" s="772"/>
      <c r="S72" s="772"/>
      <c r="T72" s="772"/>
      <c r="U72" s="772"/>
      <c r="V72" s="772"/>
      <c r="W72" s="773"/>
    </row>
    <row r="73" spans="2:23" ht="18">
      <c r="B73" s="80"/>
      <c r="D73" s="115" t="s">
        <v>1213</v>
      </c>
      <c r="E73" s="150"/>
      <c r="F73" s="150"/>
      <c r="G73" s="64"/>
      <c r="H73" s="72"/>
      <c r="J73" s="771"/>
      <c r="K73" s="772"/>
      <c r="L73" s="772"/>
      <c r="M73" s="772"/>
      <c r="N73" s="772"/>
      <c r="O73" s="772"/>
      <c r="P73" s="772"/>
      <c r="Q73" s="772"/>
      <c r="R73" s="772"/>
      <c r="S73" s="772"/>
      <c r="T73" s="772"/>
      <c r="U73" s="772"/>
      <c r="V73" s="772"/>
      <c r="W73" s="773"/>
    </row>
    <row r="74" spans="2:23" ht="18">
      <c r="B74" s="80"/>
      <c r="D74" s="115" t="s">
        <v>1214</v>
      </c>
      <c r="E74" s="150"/>
      <c r="F74" s="150"/>
      <c r="G74" s="64"/>
      <c r="H74" s="72"/>
      <c r="J74" s="771"/>
      <c r="K74" s="772"/>
      <c r="L74" s="772"/>
      <c r="M74" s="772"/>
      <c r="N74" s="772"/>
      <c r="O74" s="772"/>
      <c r="P74" s="772"/>
      <c r="Q74" s="772"/>
      <c r="R74" s="772"/>
      <c r="S74" s="772"/>
      <c r="T74" s="772"/>
      <c r="U74" s="772"/>
      <c r="V74" s="772"/>
      <c r="W74" s="773"/>
    </row>
    <row r="75" spans="2:23" ht="18">
      <c r="B75" s="80"/>
      <c r="D75" s="115" t="s">
        <v>1215</v>
      </c>
      <c r="E75" s="150"/>
      <c r="F75" s="150"/>
      <c r="G75" s="64"/>
      <c r="H75" s="72"/>
      <c r="J75" s="771"/>
      <c r="K75" s="772"/>
      <c r="L75" s="772"/>
      <c r="M75" s="772"/>
      <c r="N75" s="772"/>
      <c r="O75" s="772"/>
      <c r="P75" s="772"/>
      <c r="Q75" s="772"/>
      <c r="R75" s="772"/>
      <c r="S75" s="772"/>
      <c r="T75" s="772"/>
      <c r="U75" s="772"/>
      <c r="V75" s="772"/>
      <c r="W75" s="773"/>
    </row>
    <row r="76" spans="2:23" ht="18">
      <c r="B76" s="80"/>
      <c r="D76" s="115" t="s">
        <v>1216</v>
      </c>
      <c r="E76" s="150"/>
      <c r="F76" s="150"/>
      <c r="G76" s="64"/>
      <c r="H76" s="72"/>
      <c r="J76" s="771"/>
      <c r="K76" s="772"/>
      <c r="L76" s="772"/>
      <c r="M76" s="772"/>
      <c r="N76" s="772"/>
      <c r="O76" s="772"/>
      <c r="P76" s="772"/>
      <c r="Q76" s="772"/>
      <c r="R76" s="772"/>
      <c r="S76" s="772"/>
      <c r="T76" s="772"/>
      <c r="U76" s="772"/>
      <c r="V76" s="772"/>
      <c r="W76" s="773"/>
    </row>
    <row r="77" spans="2:23" ht="18">
      <c r="B77" s="80"/>
      <c r="C77" s="636" t="s">
        <v>1217</v>
      </c>
      <c r="E77" s="150"/>
      <c r="F77" s="150"/>
      <c r="G77" s="64"/>
      <c r="H77" s="72"/>
      <c r="J77" s="771"/>
      <c r="K77" s="772"/>
      <c r="L77" s="772"/>
      <c r="M77" s="772"/>
      <c r="N77" s="772"/>
      <c r="O77" s="772"/>
      <c r="P77" s="772"/>
      <c r="Q77" s="772"/>
      <c r="R77" s="772"/>
      <c r="S77" s="772"/>
      <c r="T77" s="772"/>
      <c r="U77" s="772"/>
      <c r="V77" s="772"/>
      <c r="W77" s="773"/>
    </row>
    <row r="78" spans="2:23" ht="18">
      <c r="B78" s="80"/>
      <c r="D78" s="115" t="s">
        <v>1218</v>
      </c>
      <c r="E78" s="150"/>
      <c r="F78" s="150"/>
      <c r="G78" s="64"/>
      <c r="H78" s="72"/>
      <c r="J78" s="771"/>
      <c r="K78" s="772"/>
      <c r="L78" s="772"/>
      <c r="M78" s="772"/>
      <c r="N78" s="772"/>
      <c r="O78" s="772"/>
      <c r="P78" s="772"/>
      <c r="Q78" s="772"/>
      <c r="R78" s="772"/>
      <c r="S78" s="772"/>
      <c r="T78" s="772"/>
      <c r="U78" s="772"/>
      <c r="V78" s="772"/>
      <c r="W78" s="773"/>
    </row>
    <row r="79" spans="2:23" ht="18">
      <c r="B79" s="80"/>
      <c r="D79" s="115" t="s">
        <v>1219</v>
      </c>
      <c r="E79" s="150"/>
      <c r="F79" s="150"/>
      <c r="G79" s="64"/>
      <c r="H79" s="72"/>
      <c r="J79" s="771"/>
      <c r="K79" s="772"/>
      <c r="L79" s="772"/>
      <c r="M79" s="772"/>
      <c r="N79" s="772"/>
      <c r="O79" s="772"/>
      <c r="P79" s="772"/>
      <c r="Q79" s="772"/>
      <c r="R79" s="772"/>
      <c r="S79" s="772"/>
      <c r="T79" s="772"/>
      <c r="U79" s="772"/>
      <c r="V79" s="772"/>
      <c r="W79" s="773"/>
    </row>
    <row r="80" spans="2:23" ht="18">
      <c r="B80" s="80"/>
      <c r="D80" s="115" t="s">
        <v>1220</v>
      </c>
      <c r="E80" s="150"/>
      <c r="F80" s="150"/>
      <c r="G80" s="64"/>
      <c r="H80" s="72"/>
      <c r="J80" s="771"/>
      <c r="K80" s="772"/>
      <c r="L80" s="772"/>
      <c r="M80" s="772"/>
      <c r="N80" s="772"/>
      <c r="O80" s="772"/>
      <c r="P80" s="772"/>
      <c r="Q80" s="772"/>
      <c r="R80" s="772"/>
      <c r="S80" s="772"/>
      <c r="T80" s="772"/>
      <c r="U80" s="772"/>
      <c r="V80" s="772"/>
      <c r="W80" s="773"/>
    </row>
    <row r="81" spans="2:23" ht="18">
      <c r="B81" s="80"/>
      <c r="D81" s="115" t="s">
        <v>1221</v>
      </c>
      <c r="E81" s="150"/>
      <c r="F81" s="150"/>
      <c r="G81" s="64"/>
      <c r="H81" s="72"/>
      <c r="J81" s="771"/>
      <c r="K81" s="772"/>
      <c r="L81" s="772"/>
      <c r="M81" s="772"/>
      <c r="N81" s="772"/>
      <c r="O81" s="772"/>
      <c r="P81" s="772"/>
      <c r="Q81" s="772"/>
      <c r="R81" s="772"/>
      <c r="S81" s="772"/>
      <c r="T81" s="772"/>
      <c r="U81" s="772"/>
      <c r="V81" s="772"/>
      <c r="W81" s="773"/>
    </row>
    <row r="82" spans="2:23" ht="23.1" customHeight="1">
      <c r="B82" s="80"/>
      <c r="C82" s="115" t="s">
        <v>1222</v>
      </c>
      <c r="D82" s="597"/>
      <c r="E82" s="150"/>
      <c r="F82" s="150"/>
      <c r="G82" s="64"/>
      <c r="H82" s="72"/>
      <c r="J82" s="771"/>
      <c r="K82" s="772"/>
      <c r="L82" s="772"/>
      <c r="M82" s="772"/>
      <c r="N82" s="772"/>
      <c r="O82" s="772"/>
      <c r="P82" s="772"/>
      <c r="Q82" s="772"/>
      <c r="R82" s="772"/>
      <c r="S82" s="772"/>
      <c r="T82" s="772"/>
      <c r="U82" s="772"/>
      <c r="V82" s="772"/>
      <c r="W82" s="773"/>
    </row>
    <row r="83" spans="2:23" ht="23.1" customHeight="1" thickBot="1">
      <c r="B83" s="83"/>
      <c r="C83" s="1228"/>
      <c r="D83" s="1228"/>
      <c r="E83" s="33"/>
      <c r="F83" s="33"/>
      <c r="G83" s="84"/>
      <c r="H83" s="85"/>
      <c r="J83" s="776"/>
      <c r="K83" s="777"/>
      <c r="L83" s="777"/>
      <c r="M83" s="777"/>
      <c r="N83" s="777"/>
      <c r="O83" s="777"/>
      <c r="P83" s="777"/>
      <c r="Q83" s="777"/>
      <c r="R83" s="777"/>
      <c r="S83" s="777"/>
      <c r="T83" s="777"/>
      <c r="U83" s="777"/>
      <c r="V83" s="777"/>
      <c r="W83" s="778"/>
    </row>
    <row r="84" spans="2:23" ht="23.1" customHeight="1">
      <c r="I84" s="65" t="s">
        <v>248</v>
      </c>
    </row>
    <row r="85" spans="2:23" ht="12.75">
      <c r="C85" s="86" t="s">
        <v>98</v>
      </c>
      <c r="G85" s="63" t="s">
        <v>1223</v>
      </c>
    </row>
    <row r="86" spans="2:23" ht="12.75">
      <c r="C86" s="86" t="s">
        <v>100</v>
      </c>
    </row>
    <row r="87" spans="2:23" ht="12.75">
      <c r="C87" s="86" t="s">
        <v>101</v>
      </c>
    </row>
    <row r="88" spans="2:23" ht="12.75">
      <c r="C88" s="86" t="s">
        <v>102</v>
      </c>
    </row>
    <row r="89" spans="2:23" ht="12.75">
      <c r="C89" s="86" t="s">
        <v>103</v>
      </c>
    </row>
  </sheetData>
  <sheetProtection sheet="1" objects="1" scenarios="1"/>
  <mergeCells count="21">
    <mergeCell ref="F26:G26"/>
    <mergeCell ref="C83:D83"/>
    <mergeCell ref="F20:G20"/>
    <mergeCell ref="F21:G21"/>
    <mergeCell ref="F22:G22"/>
    <mergeCell ref="F23:G23"/>
    <mergeCell ref="F24:G24"/>
    <mergeCell ref="F25:G25"/>
    <mergeCell ref="F43:G43"/>
    <mergeCell ref="F44:G44"/>
    <mergeCell ref="C20:D20"/>
    <mergeCell ref="F28:G28"/>
    <mergeCell ref="F29:G29"/>
    <mergeCell ref="F30:G30"/>
    <mergeCell ref="F32:G32"/>
    <mergeCell ref="F33:G33"/>
    <mergeCell ref="G6:G7"/>
    <mergeCell ref="D9:G9"/>
    <mergeCell ref="C12:D12"/>
    <mergeCell ref="C18:D18"/>
    <mergeCell ref="C32:D32"/>
  </mergeCells>
  <phoneticPr fontId="5" type="noConversion"/>
  <printOptions horizontalCentered="1" verticalCentered="1"/>
  <pageMargins left="0.35629921259842523" right="0.35629921259842523" top="0.60629921259842523" bottom="0.60629921259842523" header="0.5" footer="0.5"/>
  <pageSetup paperSize="9" scale="43" orientation="portrait" horizontalDpi="4294967292" verticalDpi="4294967292" r:id="rId1"/>
  <drawing r:id="rId2"/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D0ED078-E7CA-42C6-9B35-EF3377E2DF86}">
  <sheetPr codeName="Hoja22">
    <pageSetUpPr fitToPage="1"/>
  </sheetPr>
  <dimension ref="A2:AA41"/>
  <sheetViews>
    <sheetView topLeftCell="A7" zoomScaleNormal="100" zoomScalePageLayoutView="125" workbookViewId="0"/>
  </sheetViews>
  <sheetFormatPr baseColWidth="10" defaultColWidth="10.6640625" defaultRowHeight="23.1" customHeight="1"/>
  <cols>
    <col min="1" max="1" width="4.109375" style="65" bestFit="1" customWidth="1"/>
    <col min="2" max="2" width="3.109375" style="65" customWidth="1"/>
    <col min="3" max="3" width="13.5546875" style="65" customWidth="1"/>
    <col min="4" max="4" width="59.88671875" style="65" customWidth="1"/>
    <col min="5" max="10" width="13.44140625" style="66" customWidth="1"/>
    <col min="11" max="11" width="40.6640625" style="66" customWidth="1"/>
    <col min="12" max="12" width="3.33203125" style="65" customWidth="1"/>
    <col min="13" max="16384" width="10.6640625" style="65"/>
  </cols>
  <sheetData>
    <row r="2" spans="1:27" ht="23.1" customHeight="1">
      <c r="D2" s="391" t="str">
        <f>_GENERAL!D2</f>
        <v>Área de la Presidenta: Igualdad y Diversidad, Hacienda y Proyectos Estratégicos</v>
      </c>
    </row>
    <row r="3" spans="1:27" ht="23.1" customHeight="1">
      <c r="D3" s="391" t="str">
        <f>_GENERAL!D3</f>
        <v>Dirección Insular de Hacienda</v>
      </c>
    </row>
    <row r="4" spans="1:27" ht="23.1" customHeight="1" thickBot="1">
      <c r="A4" s="65" t="s">
        <v>195</v>
      </c>
    </row>
    <row r="5" spans="1:27" ht="9" customHeight="1">
      <c r="B5" s="67"/>
      <c r="C5" s="68"/>
      <c r="D5" s="68"/>
      <c r="E5" s="69"/>
      <c r="F5" s="69"/>
      <c r="G5" s="69"/>
      <c r="H5" s="69"/>
      <c r="I5" s="69"/>
      <c r="J5" s="69"/>
      <c r="K5" s="69"/>
      <c r="L5" s="70"/>
      <c r="N5" s="746"/>
      <c r="O5" s="747"/>
      <c r="P5" s="747"/>
      <c r="Q5" s="747"/>
      <c r="R5" s="747"/>
      <c r="S5" s="747"/>
      <c r="T5" s="747"/>
      <c r="U5" s="747"/>
      <c r="V5" s="747"/>
      <c r="W5" s="747"/>
      <c r="X5" s="747"/>
      <c r="Y5" s="747"/>
      <c r="Z5" s="747"/>
      <c r="AA5" s="744"/>
    </row>
    <row r="6" spans="1:27" ht="30" customHeight="1">
      <c r="B6" s="71"/>
      <c r="C6" s="40" t="s">
        <v>2</v>
      </c>
      <c r="K6" s="1212">
        <f>ejercicio</f>
        <v>2025</v>
      </c>
      <c r="L6" s="72"/>
      <c r="N6" s="754"/>
      <c r="O6" s="755" t="s">
        <v>196</v>
      </c>
      <c r="P6" s="756"/>
      <c r="Q6" s="756"/>
      <c r="R6" s="756"/>
      <c r="S6" s="756"/>
      <c r="T6" s="756"/>
      <c r="U6" s="756"/>
      <c r="V6" s="756"/>
      <c r="W6" s="756"/>
      <c r="X6" s="756"/>
      <c r="Y6" s="756"/>
      <c r="Z6" s="756"/>
      <c r="AA6" s="255"/>
    </row>
    <row r="7" spans="1:27" ht="30" customHeight="1">
      <c r="B7" s="71"/>
      <c r="C7" s="40" t="s">
        <v>3</v>
      </c>
      <c r="K7" s="1212"/>
      <c r="L7" s="72"/>
      <c r="N7" s="779"/>
      <c r="O7" s="780"/>
      <c r="P7" s="780"/>
      <c r="Q7" s="780"/>
      <c r="R7" s="780"/>
      <c r="S7" s="780"/>
      <c r="T7" s="780"/>
      <c r="U7" s="780"/>
      <c r="V7" s="780"/>
      <c r="W7" s="780"/>
      <c r="X7" s="780"/>
      <c r="Y7" s="780"/>
      <c r="Z7" s="780"/>
      <c r="AA7" s="781"/>
    </row>
    <row r="8" spans="1:27" ht="30" customHeight="1">
      <c r="B8" s="71"/>
      <c r="C8" s="73"/>
      <c r="K8" s="74"/>
      <c r="L8" s="72"/>
      <c r="N8" s="782"/>
      <c r="O8" s="783"/>
      <c r="P8" s="783"/>
      <c r="Q8" s="783"/>
      <c r="R8" s="783"/>
      <c r="S8" s="783"/>
      <c r="T8" s="783"/>
      <c r="U8" s="783"/>
      <c r="V8" s="783"/>
      <c r="W8" s="783"/>
      <c r="X8" s="783"/>
      <c r="Y8" s="783"/>
      <c r="Z8" s="783"/>
      <c r="AA8" s="784"/>
    </row>
    <row r="9" spans="1:27" s="39" customFormat="1" ht="30" customHeight="1">
      <c r="A9" s="877"/>
      <c r="B9" s="905"/>
      <c r="C9" s="21" t="s">
        <v>105</v>
      </c>
      <c r="D9" s="1229" t="str">
        <f>Entidad</f>
        <v>(MERCATENERIFE) Mercados Centrales de Abastecimiento de Tenerife, S.A.</v>
      </c>
      <c r="E9" s="1229"/>
      <c r="F9" s="1229"/>
      <c r="G9" s="1229"/>
      <c r="H9" s="1229"/>
      <c r="I9" s="1229"/>
      <c r="J9" s="1229"/>
      <c r="K9" s="1229"/>
      <c r="L9" s="904"/>
      <c r="M9" s="877"/>
      <c r="N9" s="782"/>
      <c r="O9" s="783"/>
      <c r="P9" s="783"/>
      <c r="Q9" s="783"/>
      <c r="R9" s="783"/>
      <c r="S9" s="783"/>
      <c r="T9" s="783"/>
      <c r="U9" s="783"/>
      <c r="V9" s="783"/>
      <c r="W9" s="783"/>
      <c r="X9" s="783"/>
      <c r="Y9" s="783"/>
      <c r="Z9" s="783"/>
      <c r="AA9" s="784"/>
    </row>
    <row r="10" spans="1:27" ht="6.95" customHeight="1">
      <c r="B10" s="71"/>
      <c r="L10" s="72"/>
      <c r="N10" s="782"/>
      <c r="O10" s="783"/>
      <c r="P10" s="783"/>
      <c r="Q10" s="783"/>
      <c r="R10" s="783"/>
      <c r="S10" s="783"/>
      <c r="T10" s="783"/>
      <c r="U10" s="783"/>
      <c r="V10" s="783"/>
      <c r="W10" s="783"/>
      <c r="X10" s="783"/>
      <c r="Y10" s="783"/>
      <c r="Z10" s="783"/>
      <c r="AA10" s="784"/>
    </row>
    <row r="11" spans="1:27" s="79" customFormat="1" ht="30" customHeight="1">
      <c r="B11" s="75"/>
      <c r="C11" s="76" t="s">
        <v>93</v>
      </c>
      <c r="D11" s="76"/>
      <c r="E11" s="77"/>
      <c r="F11" s="77"/>
      <c r="G11" s="77"/>
      <c r="H11" s="77"/>
      <c r="I11" s="77"/>
      <c r="J11" s="77"/>
      <c r="K11" s="77"/>
      <c r="L11" s="78"/>
      <c r="N11" s="782"/>
      <c r="O11" s="783"/>
      <c r="P11" s="783"/>
      <c r="Q11" s="783"/>
      <c r="R11" s="783"/>
      <c r="S11" s="783"/>
      <c r="T11" s="783"/>
      <c r="U11" s="783"/>
      <c r="V11" s="783"/>
      <c r="W11" s="783"/>
      <c r="X11" s="783"/>
      <c r="Y11" s="783"/>
      <c r="Z11" s="783"/>
      <c r="AA11" s="784"/>
    </row>
    <row r="12" spans="1:27" s="79" customFormat="1" ht="30" customHeight="1">
      <c r="B12" s="75"/>
      <c r="C12" s="1135" t="str">
        <f ca="1">IF(_GENERAL!D15&lt;&gt;"Administración Pública","No aplica a entidades clasificadas como Entidad no financiera","")</f>
        <v>No aplica a entidades clasificadas como Entidad no financiera</v>
      </c>
      <c r="E12" s="64"/>
      <c r="F12" s="64"/>
      <c r="G12" s="64"/>
      <c r="H12" s="64"/>
      <c r="I12" s="64"/>
      <c r="J12" s="64"/>
      <c r="K12" s="64"/>
      <c r="L12" s="78"/>
      <c r="N12" s="779"/>
      <c r="O12" s="780"/>
      <c r="P12" s="780"/>
      <c r="Q12" s="780"/>
      <c r="R12" s="780"/>
      <c r="S12" s="780"/>
      <c r="T12" s="780"/>
      <c r="U12" s="780"/>
      <c r="V12" s="780"/>
      <c r="W12" s="780"/>
      <c r="X12" s="780"/>
      <c r="Y12" s="780"/>
      <c r="Z12" s="780"/>
      <c r="AA12" s="781"/>
    </row>
    <row r="13" spans="1:27" s="82" customFormat="1" ht="23.1" customHeight="1">
      <c r="B13" s="80"/>
      <c r="C13" s="1349"/>
      <c r="D13" s="1350"/>
      <c r="E13" s="134" t="s">
        <v>1224</v>
      </c>
      <c r="F13" s="1353" t="s">
        <v>784</v>
      </c>
      <c r="G13" s="1354"/>
      <c r="H13" s="1354"/>
      <c r="I13" s="1355"/>
      <c r="J13" s="134" t="s">
        <v>1225</v>
      </c>
      <c r="K13" s="1351" t="s">
        <v>1226</v>
      </c>
      <c r="L13" s="81"/>
      <c r="N13" s="782"/>
      <c r="O13" s="783"/>
      <c r="P13" s="783"/>
      <c r="Q13" s="783"/>
      <c r="R13" s="783"/>
      <c r="S13" s="783"/>
      <c r="T13" s="783"/>
      <c r="U13" s="783"/>
      <c r="V13" s="783"/>
      <c r="W13" s="783"/>
      <c r="X13" s="783"/>
      <c r="Y13" s="783"/>
      <c r="Z13" s="783"/>
      <c r="AA13" s="784"/>
    </row>
    <row r="14" spans="1:27" ht="39">
      <c r="B14" s="71"/>
      <c r="C14" s="143" t="s">
        <v>1227</v>
      </c>
      <c r="D14" s="141"/>
      <c r="E14" s="142">
        <f>ejercicio</f>
        <v>2025</v>
      </c>
      <c r="F14" s="1127" t="s">
        <v>1228</v>
      </c>
      <c r="G14" s="1128" t="s">
        <v>1229</v>
      </c>
      <c r="H14" s="1128" t="s">
        <v>1230</v>
      </c>
      <c r="I14" s="1129" t="s">
        <v>1231</v>
      </c>
      <c r="J14" s="142">
        <f>ejercicio</f>
        <v>2025</v>
      </c>
      <c r="K14" s="1352"/>
      <c r="L14" s="72"/>
      <c r="N14" s="782"/>
      <c r="O14" s="783"/>
      <c r="P14" s="783"/>
      <c r="Q14" s="783"/>
      <c r="R14" s="783"/>
      <c r="S14" s="783"/>
      <c r="T14" s="783"/>
      <c r="U14" s="783"/>
      <c r="V14" s="783"/>
      <c r="W14" s="783"/>
      <c r="X14" s="783"/>
      <c r="Y14" s="783"/>
      <c r="Z14" s="783"/>
      <c r="AA14" s="784"/>
    </row>
    <row r="15" spans="1:27" s="17" customFormat="1" ht="23.1" customHeight="1">
      <c r="B15" s="80"/>
      <c r="C15" s="618" t="s">
        <v>1232</v>
      </c>
      <c r="D15" s="930"/>
      <c r="E15" s="281"/>
      <c r="F15" s="648"/>
      <c r="G15" s="980"/>
      <c r="H15" s="980"/>
      <c r="I15" s="981"/>
      <c r="J15" s="118">
        <f>SUM(E15:I15)</f>
        <v>0</v>
      </c>
      <c r="K15" s="922"/>
      <c r="L15" s="81"/>
      <c r="N15" s="782"/>
      <c r="O15" s="783"/>
      <c r="P15" s="783"/>
      <c r="Q15" s="783"/>
      <c r="R15" s="783"/>
      <c r="S15" s="783"/>
      <c r="T15" s="783"/>
      <c r="U15" s="783"/>
      <c r="V15" s="783"/>
      <c r="W15" s="783"/>
      <c r="X15" s="783"/>
      <c r="Y15" s="783"/>
      <c r="Z15" s="783"/>
      <c r="AA15" s="784"/>
    </row>
    <row r="16" spans="1:27" ht="23.1" customHeight="1">
      <c r="B16" s="80"/>
      <c r="C16" s="619" t="s">
        <v>1233</v>
      </c>
      <c r="D16" s="933"/>
      <c r="E16" s="282"/>
      <c r="F16" s="982"/>
      <c r="G16" s="983"/>
      <c r="H16" s="983"/>
      <c r="I16" s="984"/>
      <c r="J16" s="120">
        <f>SUM(E16:I16)</f>
        <v>0</v>
      </c>
      <c r="K16" s="585"/>
      <c r="L16" s="72"/>
      <c r="N16" s="782"/>
      <c r="O16" s="783"/>
      <c r="P16" s="783"/>
      <c r="Q16" s="783"/>
      <c r="R16" s="783"/>
      <c r="S16" s="783"/>
      <c r="T16" s="783"/>
      <c r="U16" s="783"/>
      <c r="V16" s="783"/>
      <c r="W16" s="783"/>
      <c r="X16" s="783"/>
      <c r="Y16" s="783"/>
      <c r="Z16" s="783"/>
      <c r="AA16" s="784"/>
    </row>
    <row r="17" spans="2:27" ht="24" customHeight="1">
      <c r="B17" s="80"/>
      <c r="C17" s="619" t="s">
        <v>1234</v>
      </c>
      <c r="D17" s="933"/>
      <c r="E17" s="282"/>
      <c r="F17" s="982"/>
      <c r="G17" s="983"/>
      <c r="H17" s="983"/>
      <c r="I17" s="984"/>
      <c r="J17" s="120">
        <f>SUM(E17:I17)</f>
        <v>0</v>
      </c>
      <c r="K17" s="585"/>
      <c r="L17" s="72"/>
      <c r="N17" s="782"/>
      <c r="O17" s="783"/>
      <c r="P17" s="783"/>
      <c r="Q17" s="783"/>
      <c r="R17" s="783"/>
      <c r="S17" s="783"/>
      <c r="T17" s="783"/>
      <c r="U17" s="783"/>
      <c r="V17" s="783"/>
      <c r="W17" s="783"/>
      <c r="X17" s="783"/>
      <c r="Y17" s="783"/>
      <c r="Z17" s="783"/>
      <c r="AA17" s="784"/>
    </row>
    <row r="18" spans="2:27" ht="23.1" customHeight="1">
      <c r="B18" s="80"/>
      <c r="C18" s="603" t="s">
        <v>1235</v>
      </c>
      <c r="D18" s="985"/>
      <c r="E18" s="283"/>
      <c r="F18" s="652"/>
      <c r="G18" s="986"/>
      <c r="H18" s="986"/>
      <c r="I18" s="987"/>
      <c r="J18" s="121">
        <f>SUM(E18:I18)</f>
        <v>0</v>
      </c>
      <c r="K18" s="918"/>
      <c r="L18" s="72"/>
      <c r="N18" s="782"/>
      <c r="O18" s="783"/>
      <c r="P18" s="783"/>
      <c r="Q18" s="783"/>
      <c r="R18" s="783"/>
      <c r="S18" s="783"/>
      <c r="T18" s="783"/>
      <c r="U18" s="783"/>
      <c r="V18" s="783"/>
      <c r="W18" s="783"/>
      <c r="X18" s="783"/>
      <c r="Y18" s="783"/>
      <c r="Z18" s="783"/>
      <c r="AA18" s="784"/>
    </row>
    <row r="19" spans="2:27" ht="23.1" customHeight="1" thickBot="1">
      <c r="B19" s="80"/>
      <c r="C19" s="111" t="s">
        <v>801</v>
      </c>
      <c r="D19" s="112"/>
      <c r="E19" s="119">
        <f t="shared" ref="E19:J19" si="0">SUM(E15:E18)</f>
        <v>0</v>
      </c>
      <c r="F19" s="119">
        <f t="shared" si="0"/>
        <v>0</v>
      </c>
      <c r="G19" s="119">
        <f t="shared" si="0"/>
        <v>0</v>
      </c>
      <c r="H19" s="119">
        <f t="shared" si="0"/>
        <v>0</v>
      </c>
      <c r="I19" s="119">
        <f t="shared" si="0"/>
        <v>0</v>
      </c>
      <c r="J19" s="119">
        <f t="shared" si="0"/>
        <v>0</v>
      </c>
      <c r="K19" s="113"/>
      <c r="L19" s="72"/>
      <c r="N19" s="782"/>
      <c r="O19" s="783"/>
      <c r="P19" s="783"/>
      <c r="Q19" s="783"/>
      <c r="R19" s="783"/>
      <c r="S19" s="783"/>
      <c r="T19" s="783"/>
      <c r="U19" s="783"/>
      <c r="V19" s="783"/>
      <c r="W19" s="783"/>
      <c r="X19" s="783"/>
      <c r="Y19" s="783"/>
      <c r="Z19" s="783"/>
      <c r="AA19" s="784"/>
    </row>
    <row r="20" spans="2:27" ht="8.1" customHeight="1">
      <c r="B20" s="80"/>
      <c r="C20" s="107"/>
      <c r="D20" s="107"/>
      <c r="E20" s="108"/>
      <c r="F20" s="108"/>
      <c r="G20" s="108"/>
      <c r="H20" s="108"/>
      <c r="I20" s="108"/>
      <c r="J20" s="108"/>
      <c r="K20" s="108"/>
      <c r="L20" s="72"/>
      <c r="N20" s="782"/>
      <c r="O20" s="783"/>
      <c r="P20" s="783"/>
      <c r="Q20" s="783"/>
      <c r="R20" s="783"/>
      <c r="S20" s="783"/>
      <c r="T20" s="783"/>
      <c r="U20" s="783"/>
      <c r="V20" s="783"/>
      <c r="W20" s="783"/>
      <c r="X20" s="783"/>
      <c r="Y20" s="783"/>
      <c r="Z20" s="783"/>
      <c r="AA20" s="784"/>
    </row>
    <row r="21" spans="2:27" ht="23.1" customHeight="1">
      <c r="B21" s="80"/>
      <c r="C21" s="79"/>
      <c r="D21" s="79"/>
      <c r="E21" s="64"/>
      <c r="F21" s="64"/>
      <c r="G21" s="64"/>
      <c r="H21" s="64"/>
      <c r="I21" s="64"/>
      <c r="J21" s="64"/>
      <c r="K21" s="64"/>
      <c r="L21" s="72"/>
      <c r="N21" s="782"/>
      <c r="O21" s="783"/>
      <c r="P21" s="783"/>
      <c r="Q21" s="783"/>
      <c r="R21" s="783"/>
      <c r="S21" s="783"/>
      <c r="T21" s="783"/>
      <c r="U21" s="783"/>
      <c r="V21" s="783"/>
      <c r="W21" s="783"/>
      <c r="X21" s="783"/>
      <c r="Y21" s="783"/>
      <c r="Z21" s="783"/>
      <c r="AA21" s="784"/>
    </row>
    <row r="22" spans="2:27" ht="23.1" customHeight="1">
      <c r="B22" s="80"/>
      <c r="C22" s="1349"/>
      <c r="D22" s="1350"/>
      <c r="E22" s="134" t="s">
        <v>1224</v>
      </c>
      <c r="F22" s="1353" t="s">
        <v>784</v>
      </c>
      <c r="G22" s="1354"/>
      <c r="H22" s="1354"/>
      <c r="I22" s="1355"/>
      <c r="J22" s="134" t="s">
        <v>1225</v>
      </c>
      <c r="K22" s="1351" t="s">
        <v>1226</v>
      </c>
      <c r="L22" s="72"/>
      <c r="N22" s="782"/>
      <c r="O22" s="783"/>
      <c r="P22" s="783"/>
      <c r="Q22" s="783"/>
      <c r="R22" s="783"/>
      <c r="S22" s="783"/>
      <c r="T22" s="783"/>
      <c r="U22" s="783"/>
      <c r="V22" s="783"/>
      <c r="W22" s="783"/>
      <c r="X22" s="783"/>
      <c r="Y22" s="783"/>
      <c r="Z22" s="783"/>
      <c r="AA22" s="784"/>
    </row>
    <row r="23" spans="2:27" ht="39">
      <c r="B23" s="80"/>
      <c r="C23" s="143" t="s">
        <v>1236</v>
      </c>
      <c r="D23" s="141"/>
      <c r="E23" s="142">
        <f>ejercicio</f>
        <v>2025</v>
      </c>
      <c r="F23" s="1127" t="s">
        <v>1228</v>
      </c>
      <c r="G23" s="1128" t="s">
        <v>1229</v>
      </c>
      <c r="H23" s="1128" t="s">
        <v>1230</v>
      </c>
      <c r="I23" s="1129" t="s">
        <v>1231</v>
      </c>
      <c r="J23" s="142">
        <f>ejercicio</f>
        <v>2025</v>
      </c>
      <c r="K23" s="1352"/>
      <c r="L23" s="72"/>
      <c r="N23" s="782"/>
      <c r="O23" s="783"/>
      <c r="P23" s="783"/>
      <c r="Q23" s="783"/>
      <c r="R23" s="783"/>
      <c r="S23" s="783"/>
      <c r="T23" s="783"/>
      <c r="U23" s="783"/>
      <c r="V23" s="783"/>
      <c r="W23" s="783"/>
      <c r="X23" s="783"/>
      <c r="Y23" s="783"/>
      <c r="Z23" s="783"/>
      <c r="AA23" s="784"/>
    </row>
    <row r="24" spans="2:27" ht="23.1" customHeight="1">
      <c r="B24" s="80"/>
      <c r="C24" s="618" t="s">
        <v>1237</v>
      </c>
      <c r="D24" s="930"/>
      <c r="E24" s="281"/>
      <c r="F24" s="648"/>
      <c r="G24" s="980"/>
      <c r="H24" s="980"/>
      <c r="I24" s="981"/>
      <c r="J24" s="118">
        <f>SUM(E24:I24)</f>
        <v>0</v>
      </c>
      <c r="K24" s="922"/>
      <c r="L24" s="72"/>
      <c r="N24" s="782"/>
      <c r="O24" s="783"/>
      <c r="P24" s="783"/>
      <c r="Q24" s="783"/>
      <c r="R24" s="783"/>
      <c r="S24" s="783"/>
      <c r="T24" s="783"/>
      <c r="U24" s="783"/>
      <c r="V24" s="783"/>
      <c r="W24" s="783"/>
      <c r="X24" s="783"/>
      <c r="Y24" s="783"/>
      <c r="Z24" s="783"/>
      <c r="AA24" s="784"/>
    </row>
    <row r="25" spans="2:27" ht="23.1" customHeight="1">
      <c r="B25" s="80"/>
      <c r="C25" s="619" t="s">
        <v>1238</v>
      </c>
      <c r="D25" s="933"/>
      <c r="E25" s="282"/>
      <c r="F25" s="982"/>
      <c r="G25" s="983"/>
      <c r="H25" s="983"/>
      <c r="I25" s="984"/>
      <c r="J25" s="120">
        <f>SUM(E25:I25)</f>
        <v>0</v>
      </c>
      <c r="K25" s="585"/>
      <c r="L25" s="72"/>
      <c r="N25" s="782"/>
      <c r="O25" s="783"/>
      <c r="P25" s="783"/>
      <c r="Q25" s="783"/>
      <c r="R25" s="783"/>
      <c r="S25" s="783"/>
      <c r="T25" s="783"/>
      <c r="U25" s="783"/>
      <c r="V25" s="783"/>
      <c r="W25" s="783"/>
      <c r="X25" s="783"/>
      <c r="Y25" s="783"/>
      <c r="Z25" s="783"/>
      <c r="AA25" s="784"/>
    </row>
    <row r="26" spans="2:27" ht="23.1" customHeight="1">
      <c r="B26" s="80"/>
      <c r="C26" s="619" t="s">
        <v>1239</v>
      </c>
      <c r="D26" s="933"/>
      <c r="E26" s="282"/>
      <c r="F26" s="982"/>
      <c r="G26" s="983"/>
      <c r="H26" s="983"/>
      <c r="I26" s="984"/>
      <c r="J26" s="120">
        <f>SUM(E26:I26)</f>
        <v>0</v>
      </c>
      <c r="K26" s="585"/>
      <c r="L26" s="72"/>
      <c r="N26" s="782"/>
      <c r="O26" s="783"/>
      <c r="P26" s="783"/>
      <c r="Q26" s="783"/>
      <c r="R26" s="783"/>
      <c r="S26" s="783"/>
      <c r="T26" s="783"/>
      <c r="U26" s="783"/>
      <c r="V26" s="783"/>
      <c r="W26" s="783"/>
      <c r="X26" s="783"/>
      <c r="Y26" s="783"/>
      <c r="Z26" s="783"/>
      <c r="AA26" s="784"/>
    </row>
    <row r="27" spans="2:27" ht="23.1" customHeight="1">
      <c r="B27" s="80"/>
      <c r="C27" s="603" t="s">
        <v>1240</v>
      </c>
      <c r="D27" s="985"/>
      <c r="E27" s="283"/>
      <c r="F27" s="652"/>
      <c r="G27" s="986"/>
      <c r="H27" s="986"/>
      <c r="I27" s="987"/>
      <c r="J27" s="121">
        <f>SUM(E27:I27)</f>
        <v>0</v>
      </c>
      <c r="K27" s="918"/>
      <c r="L27" s="72"/>
      <c r="N27" s="785"/>
      <c r="O27" s="786"/>
      <c r="P27" s="786"/>
      <c r="Q27" s="786"/>
      <c r="R27" s="786"/>
      <c r="S27" s="786"/>
      <c r="T27" s="786"/>
      <c r="U27" s="786"/>
      <c r="V27" s="786"/>
      <c r="W27" s="786"/>
      <c r="X27" s="786"/>
      <c r="Y27" s="786"/>
      <c r="Z27" s="786"/>
      <c r="AA27" s="787"/>
    </row>
    <row r="28" spans="2:27" ht="23.1" customHeight="1" thickBot="1">
      <c r="B28" s="80"/>
      <c r="C28" s="111" t="s">
        <v>801</v>
      </c>
      <c r="D28" s="112"/>
      <c r="E28" s="119">
        <f t="shared" ref="E28:J28" si="1">SUM(E24:E27)</f>
        <v>0</v>
      </c>
      <c r="F28" s="119">
        <f t="shared" si="1"/>
        <v>0</v>
      </c>
      <c r="G28" s="119">
        <f t="shared" si="1"/>
        <v>0</v>
      </c>
      <c r="H28" s="119">
        <f t="shared" si="1"/>
        <v>0</v>
      </c>
      <c r="I28" s="119">
        <f t="shared" si="1"/>
        <v>0</v>
      </c>
      <c r="J28" s="119">
        <f t="shared" si="1"/>
        <v>0</v>
      </c>
      <c r="K28" s="113"/>
      <c r="L28" s="72"/>
      <c r="N28" s="785"/>
      <c r="O28" s="786"/>
      <c r="P28" s="786"/>
      <c r="Q28" s="786"/>
      <c r="R28" s="786"/>
      <c r="S28" s="786"/>
      <c r="T28" s="786"/>
      <c r="U28" s="786"/>
      <c r="V28" s="786"/>
      <c r="W28" s="786"/>
      <c r="X28" s="786"/>
      <c r="Y28" s="786"/>
      <c r="Z28" s="786"/>
      <c r="AA28" s="787"/>
    </row>
    <row r="29" spans="2:27" ht="9" customHeight="1">
      <c r="B29" s="80"/>
      <c r="C29" s="107"/>
      <c r="D29" s="107"/>
      <c r="E29" s="108"/>
      <c r="F29" s="108"/>
      <c r="G29" s="108"/>
      <c r="H29" s="108"/>
      <c r="I29" s="108"/>
      <c r="J29" s="108"/>
      <c r="K29" s="108"/>
      <c r="L29" s="72"/>
      <c r="N29" s="782"/>
      <c r="O29" s="783"/>
      <c r="P29" s="783"/>
      <c r="Q29" s="783"/>
      <c r="R29" s="783"/>
      <c r="S29" s="783"/>
      <c r="T29" s="783"/>
      <c r="U29" s="783"/>
      <c r="V29" s="783"/>
      <c r="W29" s="783"/>
      <c r="X29" s="783"/>
      <c r="Y29" s="783"/>
      <c r="Z29" s="783"/>
      <c r="AA29" s="784"/>
    </row>
    <row r="30" spans="2:27" ht="23.1" customHeight="1">
      <c r="B30" s="80"/>
      <c r="C30" s="79"/>
      <c r="D30" s="79"/>
      <c r="E30" s="64"/>
      <c r="F30" s="64"/>
      <c r="G30" s="64"/>
      <c r="H30" s="64"/>
      <c r="I30" s="64"/>
      <c r="J30" s="64"/>
      <c r="K30" s="64"/>
      <c r="L30" s="72"/>
      <c r="N30" s="782"/>
      <c r="O30" s="783"/>
      <c r="P30" s="783"/>
      <c r="Q30" s="783"/>
      <c r="R30" s="783"/>
      <c r="S30" s="783"/>
      <c r="T30" s="783"/>
      <c r="U30" s="783"/>
      <c r="V30" s="783"/>
      <c r="W30" s="783"/>
      <c r="X30" s="783"/>
      <c r="Y30" s="783"/>
      <c r="Z30" s="783"/>
      <c r="AA30" s="784"/>
    </row>
    <row r="31" spans="2:27" ht="23.1" customHeight="1">
      <c r="B31" s="80"/>
      <c r="C31" s="389" t="s">
        <v>738</v>
      </c>
      <c r="D31" s="115"/>
      <c r="E31" s="116"/>
      <c r="F31" s="116"/>
      <c r="G31" s="116"/>
      <c r="H31" s="116"/>
      <c r="I31" s="116"/>
      <c r="J31" s="116"/>
      <c r="K31" s="64"/>
      <c r="L31" s="72"/>
      <c r="N31" s="782"/>
      <c r="O31" s="783"/>
      <c r="P31" s="783"/>
      <c r="Q31" s="783"/>
      <c r="R31" s="783"/>
      <c r="S31" s="783"/>
      <c r="T31" s="783"/>
      <c r="U31" s="783"/>
      <c r="V31" s="783"/>
      <c r="W31" s="783"/>
      <c r="X31" s="783"/>
      <c r="Y31" s="783"/>
      <c r="Z31" s="783"/>
      <c r="AA31" s="784"/>
    </row>
    <row r="32" spans="2:27" ht="18">
      <c r="B32" s="80"/>
      <c r="C32" s="390" t="s">
        <v>1241</v>
      </c>
      <c r="D32" s="115"/>
      <c r="E32" s="116"/>
      <c r="F32" s="116"/>
      <c r="G32" s="116"/>
      <c r="H32" s="116"/>
      <c r="I32" s="116"/>
      <c r="J32" s="116"/>
      <c r="K32" s="64"/>
      <c r="L32" s="72"/>
      <c r="N32" s="788"/>
      <c r="O32" s="789"/>
      <c r="P32" s="789"/>
      <c r="Q32" s="789"/>
      <c r="R32" s="789"/>
      <c r="S32" s="789"/>
      <c r="T32" s="789"/>
      <c r="U32" s="789"/>
      <c r="V32" s="789"/>
      <c r="W32" s="789"/>
      <c r="X32" s="789"/>
      <c r="Y32" s="789"/>
      <c r="Z32" s="789"/>
      <c r="AA32" s="790"/>
    </row>
    <row r="33" spans="2:27" ht="9" customHeight="1">
      <c r="B33" s="80"/>
      <c r="C33" s="157"/>
      <c r="D33" s="115"/>
      <c r="E33" s="116"/>
      <c r="F33" s="116"/>
      <c r="G33" s="116"/>
      <c r="H33" s="116"/>
      <c r="I33" s="116"/>
      <c r="J33" s="116"/>
      <c r="K33" s="64"/>
      <c r="L33" s="72"/>
      <c r="N33" s="788"/>
      <c r="O33" s="789"/>
      <c r="P33" s="789"/>
      <c r="Q33" s="789"/>
      <c r="R33" s="789"/>
      <c r="S33" s="789"/>
      <c r="T33" s="789"/>
      <c r="U33" s="789"/>
      <c r="V33" s="789"/>
      <c r="W33" s="789"/>
      <c r="X33" s="789"/>
      <c r="Y33" s="789"/>
      <c r="Z33" s="789"/>
      <c r="AA33" s="790"/>
    </row>
    <row r="34" spans="2:27" ht="18">
      <c r="B34" s="80"/>
      <c r="C34" s="157" t="s">
        <v>1242</v>
      </c>
      <c r="D34" s="115"/>
      <c r="E34" s="116"/>
      <c r="F34" s="116"/>
      <c r="G34" s="116"/>
      <c r="H34" s="116"/>
      <c r="I34" s="116"/>
      <c r="J34" s="116"/>
      <c r="K34" s="64"/>
      <c r="L34" s="72"/>
      <c r="N34" s="788"/>
      <c r="O34" s="789"/>
      <c r="P34" s="789"/>
      <c r="Q34" s="789"/>
      <c r="R34" s="789"/>
      <c r="S34" s="789"/>
      <c r="T34" s="789"/>
      <c r="U34" s="789"/>
      <c r="V34" s="789"/>
      <c r="W34" s="789"/>
      <c r="X34" s="789"/>
      <c r="Y34" s="789"/>
      <c r="Z34" s="789"/>
      <c r="AA34" s="790"/>
    </row>
    <row r="35" spans="2:27" ht="23.1" customHeight="1" thickBot="1">
      <c r="B35" s="83"/>
      <c r="C35" s="1228"/>
      <c r="D35" s="1228"/>
      <c r="E35" s="1228"/>
      <c r="F35" s="1228"/>
      <c r="G35" s="33"/>
      <c r="H35" s="33"/>
      <c r="I35" s="33"/>
      <c r="J35" s="33"/>
      <c r="K35" s="84"/>
      <c r="L35" s="85"/>
      <c r="N35" s="791"/>
      <c r="O35" s="792"/>
      <c r="P35" s="792"/>
      <c r="Q35" s="792"/>
      <c r="R35" s="792"/>
      <c r="S35" s="792"/>
      <c r="T35" s="792"/>
      <c r="U35" s="792"/>
      <c r="V35" s="792"/>
      <c r="W35" s="792"/>
      <c r="X35" s="792"/>
      <c r="Y35" s="792"/>
      <c r="Z35" s="792"/>
      <c r="AA35" s="793"/>
    </row>
    <row r="36" spans="2:27" ht="23.1" customHeight="1">
      <c r="M36" s="65" t="s">
        <v>248</v>
      </c>
    </row>
    <row r="37" spans="2:27" ht="12.75">
      <c r="C37" s="86" t="s">
        <v>98</v>
      </c>
      <c r="K37" s="63" t="s">
        <v>1243</v>
      </c>
    </row>
    <row r="38" spans="2:27" ht="12.75">
      <c r="C38" s="86" t="s">
        <v>100</v>
      </c>
    </row>
    <row r="39" spans="2:27" ht="12.75">
      <c r="C39" s="86" t="s">
        <v>101</v>
      </c>
    </row>
    <row r="40" spans="2:27" ht="12.75">
      <c r="C40" s="86" t="s">
        <v>102</v>
      </c>
    </row>
    <row r="41" spans="2:27" ht="12.75">
      <c r="C41" s="86" t="s">
        <v>103</v>
      </c>
    </row>
  </sheetData>
  <sheetProtection sheet="1" objects="1" scenarios="1"/>
  <mergeCells count="9">
    <mergeCell ref="C35:F35"/>
    <mergeCell ref="K6:K7"/>
    <mergeCell ref="D9:K9"/>
    <mergeCell ref="C13:D13"/>
    <mergeCell ref="F13:I13"/>
    <mergeCell ref="K13:K14"/>
    <mergeCell ref="C22:D22"/>
    <mergeCell ref="F22:I22"/>
    <mergeCell ref="K22:K23"/>
  </mergeCells>
  <printOptions horizontalCentered="1" verticalCentered="1"/>
  <pageMargins left="0.35629921259842523" right="0.35629921259842523" top="0.60629921259842523" bottom="0.60629921259842523" header="0.5" footer="0.5"/>
  <pageSetup paperSize="9" scale="40" orientation="portrait" horizontalDpi="4294967292" verticalDpi="4294967292" r:id="rId1"/>
  <ignoredErrors>
    <ignoredError sqref="E19" formulaRange="1"/>
  </ignoredErrors>
  <drawing r:id="rId2"/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709F33C-4E53-459A-BC6E-620D5021A682}">
  <sheetPr codeName="Hoja23">
    <pageSetUpPr fitToPage="1"/>
  </sheetPr>
  <dimension ref="A2:V48"/>
  <sheetViews>
    <sheetView topLeftCell="A14" zoomScaleNormal="100" workbookViewId="0">
      <selection activeCell="H19" sqref="H19"/>
    </sheetView>
  </sheetViews>
  <sheetFormatPr baseColWidth="10" defaultColWidth="10.6640625" defaultRowHeight="23.1" customHeight="1"/>
  <cols>
    <col min="1" max="1" width="4.109375" style="65" bestFit="1" customWidth="1"/>
    <col min="2" max="2" width="3.109375" style="65" customWidth="1"/>
    <col min="3" max="3" width="13.109375" style="65" customWidth="1"/>
    <col min="4" max="4" width="68" style="65" customWidth="1"/>
    <col min="5" max="5" width="14.88671875" style="66" customWidth="1"/>
    <col min="6" max="6" width="12.109375" style="66" customWidth="1"/>
    <col min="7" max="7" width="3.33203125" style="65" customWidth="1"/>
    <col min="8" max="16384" width="10.6640625" style="65"/>
  </cols>
  <sheetData>
    <row r="2" spans="1:22" ht="23.1" customHeight="1">
      <c r="D2" s="391" t="str">
        <f>_GENERAL!D2</f>
        <v>Área de la Presidenta: Igualdad y Diversidad, Hacienda y Proyectos Estratégicos</v>
      </c>
    </row>
    <row r="3" spans="1:22" ht="23.1" customHeight="1">
      <c r="D3" s="391" t="str">
        <f>_GENERAL!D3</f>
        <v>Dirección Insular de Hacienda</v>
      </c>
    </row>
    <row r="4" spans="1:22" ht="23.1" customHeight="1" thickBot="1">
      <c r="A4" s="65" t="s">
        <v>195</v>
      </c>
    </row>
    <row r="5" spans="1:22" ht="9" customHeight="1">
      <c r="B5" s="67"/>
      <c r="C5" s="68"/>
      <c r="D5" s="68"/>
      <c r="E5" s="69"/>
      <c r="F5" s="69"/>
      <c r="G5" s="70"/>
      <c r="I5" s="746"/>
      <c r="J5" s="747"/>
      <c r="K5" s="747"/>
      <c r="L5" s="747"/>
      <c r="M5" s="747"/>
      <c r="N5" s="747"/>
      <c r="O5" s="747"/>
      <c r="P5" s="747"/>
      <c r="Q5" s="747"/>
      <c r="R5" s="747"/>
      <c r="S5" s="747"/>
      <c r="T5" s="747"/>
      <c r="U5" s="747"/>
      <c r="V5" s="744"/>
    </row>
    <row r="6" spans="1:22" ht="30" customHeight="1">
      <c r="B6" s="71"/>
      <c r="C6" s="40" t="s">
        <v>2</v>
      </c>
      <c r="F6" s="1212">
        <f>ejercicio</f>
        <v>2025</v>
      </c>
      <c r="G6" s="72"/>
      <c r="I6" s="754"/>
      <c r="J6" s="755" t="s">
        <v>196</v>
      </c>
      <c r="K6" s="756"/>
      <c r="L6" s="756"/>
      <c r="M6" s="756"/>
      <c r="N6" s="756"/>
      <c r="O6" s="756"/>
      <c r="P6" s="756"/>
      <c r="Q6" s="756"/>
      <c r="R6" s="756"/>
      <c r="S6" s="756"/>
      <c r="T6" s="756"/>
      <c r="U6" s="756"/>
      <c r="V6" s="255"/>
    </row>
    <row r="7" spans="1:22" ht="30" customHeight="1">
      <c r="B7" s="71"/>
      <c r="C7" s="40" t="s">
        <v>3</v>
      </c>
      <c r="F7" s="1212"/>
      <c r="G7" s="72"/>
      <c r="I7" s="771"/>
      <c r="J7" s="772"/>
      <c r="K7" s="772"/>
      <c r="L7" s="772"/>
      <c r="M7" s="772"/>
      <c r="N7" s="772"/>
      <c r="O7" s="772"/>
      <c r="P7" s="772"/>
      <c r="Q7" s="772"/>
      <c r="R7" s="772"/>
      <c r="S7" s="772"/>
      <c r="T7" s="772"/>
      <c r="U7" s="772"/>
      <c r="V7" s="773"/>
    </row>
    <row r="8" spans="1:22" ht="30" customHeight="1">
      <c r="B8" s="71"/>
      <c r="C8" s="73"/>
      <c r="F8" s="74"/>
      <c r="G8" s="72"/>
      <c r="I8" s="771"/>
      <c r="J8" s="772"/>
      <c r="K8" s="772"/>
      <c r="L8" s="772"/>
      <c r="M8" s="772"/>
      <c r="N8" s="772"/>
      <c r="O8" s="772"/>
      <c r="P8" s="772"/>
      <c r="Q8" s="772"/>
      <c r="R8" s="772"/>
      <c r="S8" s="772"/>
      <c r="T8" s="772"/>
      <c r="U8" s="772"/>
      <c r="V8" s="773"/>
    </row>
    <row r="9" spans="1:22" s="128" customFormat="1" ht="30" customHeight="1">
      <c r="A9" s="877"/>
      <c r="B9" s="905"/>
      <c r="C9" s="21" t="s">
        <v>105</v>
      </c>
      <c r="D9" s="1229" t="str">
        <f>Entidad</f>
        <v>(MERCATENERIFE) Mercados Centrales de Abastecimiento de Tenerife, S.A.</v>
      </c>
      <c r="E9" s="1229"/>
      <c r="F9" s="1229"/>
      <c r="G9" s="904"/>
      <c r="H9" s="877"/>
      <c r="I9" s="771"/>
      <c r="J9" s="772"/>
      <c r="K9" s="772"/>
      <c r="L9" s="772"/>
      <c r="M9" s="772"/>
      <c r="N9" s="772"/>
      <c r="O9" s="772"/>
      <c r="P9" s="772"/>
      <c r="Q9" s="772"/>
      <c r="R9" s="772"/>
      <c r="S9" s="772"/>
      <c r="T9" s="772"/>
      <c r="U9" s="772"/>
      <c r="V9" s="773"/>
    </row>
    <row r="10" spans="1:22" ht="6.95" customHeight="1">
      <c r="B10" s="71"/>
      <c r="G10" s="72"/>
      <c r="I10" s="771"/>
      <c r="J10" s="772"/>
      <c r="K10" s="772"/>
      <c r="L10" s="772"/>
      <c r="M10" s="772"/>
      <c r="N10" s="772"/>
      <c r="O10" s="772"/>
      <c r="P10" s="772"/>
      <c r="Q10" s="772"/>
      <c r="R10" s="772"/>
      <c r="S10" s="772"/>
      <c r="T10" s="772"/>
      <c r="U10" s="772"/>
      <c r="V10" s="773"/>
    </row>
    <row r="11" spans="1:22" s="79" customFormat="1" ht="30" customHeight="1">
      <c r="B11" s="75"/>
      <c r="C11" s="76" t="s">
        <v>1244</v>
      </c>
      <c r="D11" s="76"/>
      <c r="E11" s="77"/>
      <c r="F11" s="77"/>
      <c r="G11" s="78"/>
      <c r="I11" s="771"/>
      <c r="J11" s="772"/>
      <c r="K11" s="772"/>
      <c r="L11" s="772"/>
      <c r="M11" s="772"/>
      <c r="N11" s="772"/>
      <c r="O11" s="772"/>
      <c r="P11" s="772"/>
      <c r="Q11" s="772"/>
      <c r="R11" s="772"/>
      <c r="S11" s="772"/>
      <c r="T11" s="772"/>
      <c r="U11" s="772"/>
      <c r="V11" s="773"/>
    </row>
    <row r="12" spans="1:22" s="79" customFormat="1" ht="30" customHeight="1">
      <c r="B12" s="75"/>
      <c r="C12" s="1237"/>
      <c r="D12" s="1237"/>
      <c r="E12" s="64"/>
      <c r="F12" s="64"/>
      <c r="G12" s="78"/>
      <c r="I12" s="771"/>
      <c r="J12" s="772"/>
      <c r="K12" s="772"/>
      <c r="L12" s="772"/>
      <c r="M12" s="772"/>
      <c r="N12" s="772"/>
      <c r="O12" s="772"/>
      <c r="P12" s="772"/>
      <c r="Q12" s="772"/>
      <c r="R12" s="772"/>
      <c r="S12" s="772"/>
      <c r="T12" s="772"/>
      <c r="U12" s="772"/>
      <c r="V12" s="773"/>
    </row>
    <row r="13" spans="1:22" ht="9" customHeight="1">
      <c r="B13" s="80"/>
      <c r="C13" s="906"/>
      <c r="D13" s="906"/>
      <c r="E13" s="64"/>
      <c r="F13" s="64"/>
      <c r="G13" s="72"/>
      <c r="I13" s="771"/>
      <c r="J13" s="772"/>
      <c r="K13" s="772"/>
      <c r="L13" s="772"/>
      <c r="M13" s="772"/>
      <c r="N13" s="772"/>
      <c r="O13" s="772"/>
      <c r="P13" s="772"/>
      <c r="Q13" s="772"/>
      <c r="R13" s="772"/>
      <c r="S13" s="772"/>
      <c r="T13" s="772"/>
      <c r="U13" s="772"/>
      <c r="V13" s="773"/>
    </row>
    <row r="14" spans="1:22" s="149" customFormat="1" ht="48.95" customHeight="1">
      <c r="A14" s="597"/>
      <c r="B14" s="1064"/>
      <c r="C14" s="1353" t="s">
        <v>1017</v>
      </c>
      <c r="D14" s="1355"/>
      <c r="E14" s="662" t="s">
        <v>1245</v>
      </c>
      <c r="F14" s="186" t="s">
        <v>1246</v>
      </c>
      <c r="G14" s="1065"/>
      <c r="H14" s="597"/>
      <c r="I14" s="771"/>
      <c r="J14" s="772"/>
      <c r="K14" s="772"/>
      <c r="L14" s="772"/>
      <c r="M14" s="772"/>
      <c r="N14" s="772"/>
      <c r="O14" s="772"/>
      <c r="P14" s="772"/>
      <c r="Q14" s="772"/>
      <c r="R14" s="772"/>
      <c r="S14" s="772"/>
      <c r="T14" s="772"/>
      <c r="U14" s="772"/>
      <c r="V14" s="773"/>
    </row>
    <row r="15" spans="1:22" ht="9" customHeight="1">
      <c r="B15" s="80"/>
      <c r="C15" s="38"/>
      <c r="D15" s="906"/>
      <c r="E15" s="64"/>
      <c r="F15" s="167"/>
      <c r="G15" s="72"/>
      <c r="I15" s="771"/>
      <c r="J15" s="772"/>
      <c r="K15" s="772"/>
      <c r="L15" s="772"/>
      <c r="M15" s="772"/>
      <c r="N15" s="772"/>
      <c r="O15" s="772"/>
      <c r="P15" s="772"/>
      <c r="Q15" s="772"/>
      <c r="R15" s="772"/>
      <c r="S15" s="772"/>
      <c r="T15" s="772"/>
      <c r="U15" s="772"/>
      <c r="V15" s="773"/>
    </row>
    <row r="16" spans="1:22" s="40" customFormat="1" ht="23.1" customHeight="1">
      <c r="B16" s="189"/>
      <c r="C16" s="1464" t="s">
        <v>1247</v>
      </c>
      <c r="D16" s="1465"/>
      <c r="E16" s="191">
        <f>SUM(E17:E19)</f>
        <v>288321.42000000004</v>
      </c>
      <c r="F16" s="193">
        <f>E16/$E$38</f>
        <v>6.2238121742865367E-2</v>
      </c>
      <c r="G16" s="190"/>
      <c r="I16" s="771"/>
      <c r="J16" s="772"/>
      <c r="K16" s="772"/>
      <c r="L16" s="772"/>
      <c r="M16" s="772"/>
      <c r="N16" s="772"/>
      <c r="O16" s="772"/>
      <c r="P16" s="772"/>
      <c r="Q16" s="772"/>
      <c r="R16" s="772"/>
      <c r="S16" s="772"/>
      <c r="T16" s="772"/>
      <c r="U16" s="772"/>
      <c r="V16" s="773"/>
    </row>
    <row r="17" spans="1:22" s="128" customFormat="1" ht="23.1" customHeight="1">
      <c r="A17" s="877"/>
      <c r="B17" s="905"/>
      <c r="C17" s="1073" t="s">
        <v>1248</v>
      </c>
      <c r="D17" s="673" t="s">
        <v>1249</v>
      </c>
      <c r="E17" s="932">
        <f>+'FC-3_1_INF_ADIC_CPyG'!E16+'FC-3_1_INF_ADIC_CPyG'!E19</f>
        <v>7083.89</v>
      </c>
      <c r="F17" s="1074">
        <f>E17/$E$38</f>
        <v>1.5291545395172738E-3</v>
      </c>
      <c r="G17" s="904"/>
      <c r="H17" s="877"/>
      <c r="I17" s="771"/>
      <c r="J17" s="772"/>
      <c r="K17" s="772"/>
      <c r="L17" s="772"/>
      <c r="M17" s="772"/>
      <c r="N17" s="772"/>
      <c r="O17" s="772"/>
      <c r="P17" s="772"/>
      <c r="Q17" s="772"/>
      <c r="R17" s="772"/>
      <c r="S17" s="772"/>
      <c r="T17" s="772"/>
      <c r="U17" s="772"/>
      <c r="V17" s="773"/>
    </row>
    <row r="18" spans="1:22" s="128" customFormat="1" ht="23.1" customHeight="1">
      <c r="A18" s="877"/>
      <c r="B18" s="905"/>
      <c r="C18" s="1073" t="s">
        <v>1250</v>
      </c>
      <c r="D18" s="673" t="s">
        <v>1251</v>
      </c>
      <c r="E18" s="932">
        <f>+'FC-3_1_INF_ADIC_CPyG'!E31</f>
        <v>281237.53000000003</v>
      </c>
      <c r="F18" s="1075">
        <f>E18/$E$38</f>
        <v>6.0708967203348091E-2</v>
      </c>
      <c r="G18" s="904"/>
      <c r="H18" s="877"/>
      <c r="I18" s="771"/>
      <c r="J18" s="772"/>
      <c r="K18" s="772"/>
      <c r="L18" s="772"/>
      <c r="M18" s="772"/>
      <c r="N18" s="772"/>
      <c r="O18" s="772"/>
      <c r="P18" s="772"/>
      <c r="Q18" s="772"/>
      <c r="R18" s="772"/>
      <c r="S18" s="772"/>
      <c r="T18" s="772"/>
      <c r="U18" s="772"/>
      <c r="V18" s="773"/>
    </row>
    <row r="19" spans="1:22" s="128" customFormat="1" ht="23.1" customHeight="1">
      <c r="A19" s="877"/>
      <c r="B19" s="905"/>
      <c r="C19" s="1076" t="s">
        <v>1252</v>
      </c>
      <c r="D19" s="1049" t="s">
        <v>1253</v>
      </c>
      <c r="E19" s="911"/>
      <c r="F19" s="1077">
        <f>E19/$E$38</f>
        <v>0</v>
      </c>
      <c r="G19" s="904"/>
      <c r="H19" s="877"/>
      <c r="I19" s="774" t="s">
        <v>1177</v>
      </c>
      <c r="J19" s="772"/>
      <c r="K19" s="772"/>
      <c r="L19" s="772"/>
      <c r="M19" s="772"/>
      <c r="N19" s="772"/>
      <c r="O19" s="772"/>
      <c r="P19" s="772"/>
      <c r="Q19" s="772"/>
      <c r="R19" s="772"/>
      <c r="S19" s="772"/>
      <c r="T19" s="772"/>
      <c r="U19" s="772"/>
      <c r="V19" s="773"/>
    </row>
    <row r="20" spans="1:22" s="128" customFormat="1" ht="9" customHeight="1">
      <c r="A20" s="877"/>
      <c r="B20" s="905"/>
      <c r="C20" s="8"/>
      <c r="D20" s="906"/>
      <c r="E20" s="106"/>
      <c r="F20" s="194"/>
      <c r="G20" s="904"/>
      <c r="H20" s="877"/>
      <c r="I20" s="771"/>
      <c r="J20" s="772"/>
      <c r="K20" s="772"/>
      <c r="L20" s="772"/>
      <c r="M20" s="772"/>
      <c r="N20" s="772"/>
      <c r="O20" s="772"/>
      <c r="P20" s="772"/>
      <c r="Q20" s="772"/>
      <c r="R20" s="772"/>
      <c r="S20" s="772"/>
      <c r="T20" s="772"/>
      <c r="U20" s="772"/>
      <c r="V20" s="773"/>
    </row>
    <row r="21" spans="1:22" s="128" customFormat="1" ht="23.1" customHeight="1">
      <c r="A21" s="877"/>
      <c r="B21" s="905"/>
      <c r="C21" s="1464" t="s">
        <v>1254</v>
      </c>
      <c r="D21" s="1465"/>
      <c r="E21" s="191">
        <f>+'FC-3_1_INF_ADIC_CPyG'!E40</f>
        <v>4344231.9400000004</v>
      </c>
      <c r="F21" s="195">
        <f>E21/$E$38</f>
        <v>0.93776187825713464</v>
      </c>
      <c r="G21" s="904"/>
      <c r="H21" s="877"/>
      <c r="I21" s="771"/>
      <c r="J21" s="772"/>
      <c r="K21" s="772"/>
      <c r="L21" s="772"/>
      <c r="M21" s="772"/>
      <c r="N21" s="772"/>
      <c r="O21" s="772"/>
      <c r="P21" s="772"/>
      <c r="Q21" s="772"/>
      <c r="R21" s="772"/>
      <c r="S21" s="772"/>
      <c r="T21" s="772"/>
      <c r="U21" s="772"/>
      <c r="V21" s="773"/>
    </row>
    <row r="22" spans="1:22" s="128" customFormat="1" ht="9" customHeight="1">
      <c r="A22" s="877"/>
      <c r="B22" s="905"/>
      <c r="C22" s="8"/>
      <c r="D22" s="906"/>
      <c r="E22" s="106"/>
      <c r="F22" s="194"/>
      <c r="G22" s="904"/>
      <c r="H22" s="877"/>
      <c r="I22" s="771"/>
      <c r="J22" s="772"/>
      <c r="K22" s="772"/>
      <c r="L22" s="772"/>
      <c r="M22" s="772"/>
      <c r="N22" s="772"/>
      <c r="O22" s="772"/>
      <c r="P22" s="772"/>
      <c r="Q22" s="772"/>
      <c r="R22" s="772"/>
      <c r="S22" s="772"/>
      <c r="T22" s="772"/>
      <c r="U22" s="772"/>
      <c r="V22" s="773"/>
    </row>
    <row r="23" spans="1:22" s="40" customFormat="1" ht="23.1" customHeight="1">
      <c r="B23" s="189"/>
      <c r="C23" s="1464" t="s">
        <v>1255</v>
      </c>
      <c r="D23" s="1465"/>
      <c r="E23" s="191">
        <f>E24+E28</f>
        <v>0</v>
      </c>
      <c r="F23" s="195">
        <f t="shared" ref="F23:F31" si="0">E23/$E$38</f>
        <v>0</v>
      </c>
      <c r="G23" s="190"/>
      <c r="I23" s="771"/>
      <c r="J23" s="772"/>
      <c r="K23" s="772"/>
      <c r="L23" s="772"/>
      <c r="M23" s="772"/>
      <c r="N23" s="772"/>
      <c r="O23" s="772"/>
      <c r="P23" s="772"/>
      <c r="Q23" s="772"/>
      <c r="R23" s="772"/>
      <c r="S23" s="772"/>
      <c r="T23" s="772"/>
      <c r="U23" s="772"/>
      <c r="V23" s="773"/>
    </row>
    <row r="24" spans="1:22" s="40" customFormat="1" ht="23.1" customHeight="1">
      <c r="B24" s="189"/>
      <c r="C24" s="667" t="s">
        <v>1256</v>
      </c>
      <c r="D24" s="668"/>
      <c r="E24" s="125">
        <f>SUM(E25:E27)</f>
        <v>0</v>
      </c>
      <c r="F24" s="195">
        <f t="shared" si="0"/>
        <v>0</v>
      </c>
      <c r="G24" s="190"/>
      <c r="I24" s="771"/>
      <c r="J24" s="772"/>
      <c r="K24" s="772"/>
      <c r="L24" s="772"/>
      <c r="M24" s="772"/>
      <c r="N24" s="772"/>
      <c r="O24" s="772"/>
      <c r="P24" s="772"/>
      <c r="Q24" s="772"/>
      <c r="R24" s="772"/>
      <c r="S24" s="772"/>
      <c r="T24" s="772"/>
      <c r="U24" s="772"/>
      <c r="V24" s="773"/>
    </row>
    <row r="25" spans="1:22" s="128" customFormat="1" ht="23.1" customHeight="1">
      <c r="A25" s="877"/>
      <c r="B25" s="905"/>
      <c r="C25" s="669" t="s">
        <v>1248</v>
      </c>
      <c r="D25" s="670" t="s">
        <v>1257</v>
      </c>
      <c r="E25" s="637">
        <f>'FC-9_TRANS_SUBV'!J75+'FC-9_TRANS_SUBV'!J76</f>
        <v>0</v>
      </c>
      <c r="F25" s="638">
        <f t="shared" si="0"/>
        <v>0</v>
      </c>
      <c r="G25" s="904"/>
      <c r="H25" s="877"/>
      <c r="I25" s="771"/>
      <c r="J25" s="772"/>
      <c r="K25" s="772"/>
      <c r="L25" s="772"/>
      <c r="M25" s="772"/>
      <c r="N25" s="772"/>
      <c r="O25" s="772"/>
      <c r="P25" s="772"/>
      <c r="Q25" s="772"/>
      <c r="R25" s="772"/>
      <c r="S25" s="772"/>
      <c r="T25" s="772"/>
      <c r="U25" s="772"/>
      <c r="V25" s="773"/>
    </row>
    <row r="26" spans="1:22" s="128" customFormat="1" ht="23.1" customHeight="1">
      <c r="A26" s="877"/>
      <c r="B26" s="905"/>
      <c r="C26" s="669" t="s">
        <v>1250</v>
      </c>
      <c r="D26" s="670" t="s">
        <v>1258</v>
      </c>
      <c r="E26" s="637">
        <f>'FC-9_TRANS_SUBV'!J78</f>
        <v>0</v>
      </c>
      <c r="F26" s="639">
        <f t="shared" si="0"/>
        <v>0</v>
      </c>
      <c r="G26" s="904"/>
      <c r="H26" s="877"/>
      <c r="I26" s="771"/>
      <c r="J26" s="772"/>
      <c r="K26" s="772"/>
      <c r="L26" s="772"/>
      <c r="M26" s="772"/>
      <c r="N26" s="772"/>
      <c r="O26" s="772"/>
      <c r="P26" s="772"/>
      <c r="Q26" s="772"/>
      <c r="R26" s="772"/>
      <c r="S26" s="772"/>
      <c r="T26" s="772"/>
      <c r="U26" s="772"/>
      <c r="V26" s="773"/>
    </row>
    <row r="27" spans="1:22" s="128" customFormat="1" ht="23.1" customHeight="1">
      <c r="A27" s="877"/>
      <c r="B27" s="905"/>
      <c r="C27" s="671" t="s">
        <v>1252</v>
      </c>
      <c r="D27" s="672" t="s">
        <v>1259</v>
      </c>
      <c r="E27" s="640">
        <f>'FC-9_TRANS_SUBV'!J77</f>
        <v>0</v>
      </c>
      <c r="F27" s="641">
        <f t="shared" si="0"/>
        <v>0</v>
      </c>
      <c r="G27" s="904"/>
      <c r="H27" s="877"/>
      <c r="I27" s="771"/>
      <c r="J27" s="772"/>
      <c r="K27" s="772"/>
      <c r="L27" s="772"/>
      <c r="M27" s="772"/>
      <c r="N27" s="772"/>
      <c r="O27" s="772"/>
      <c r="P27" s="772"/>
      <c r="Q27" s="772"/>
      <c r="R27" s="772"/>
      <c r="S27" s="772"/>
      <c r="T27" s="772"/>
      <c r="U27" s="772"/>
      <c r="V27" s="773"/>
    </row>
    <row r="28" spans="1:22" s="128" customFormat="1" ht="23.1" customHeight="1">
      <c r="A28" s="877"/>
      <c r="B28" s="905"/>
      <c r="C28" s="667" t="s">
        <v>1260</v>
      </c>
      <c r="D28" s="668"/>
      <c r="E28" s="125">
        <f>SUM(E29:E31)</f>
        <v>0</v>
      </c>
      <c r="F28" s="195">
        <f t="shared" si="0"/>
        <v>0</v>
      </c>
      <c r="G28" s="904"/>
      <c r="H28" s="877"/>
      <c r="I28" s="775" t="str">
        <f>IF(E28='FC-9_TRANS_SUBV'!N41,"","Ojo! El importe total de las subvenciones de capital concedidas no coincide con el indicado en FC-9")</f>
        <v/>
      </c>
      <c r="J28" s="772"/>
      <c r="K28" s="772"/>
      <c r="L28" s="772"/>
      <c r="M28" s="772"/>
      <c r="N28" s="772"/>
      <c r="O28" s="772"/>
      <c r="P28" s="772"/>
      <c r="Q28" s="772"/>
      <c r="R28" s="772"/>
      <c r="S28" s="772"/>
      <c r="T28" s="772"/>
      <c r="U28" s="772"/>
      <c r="V28" s="773"/>
    </row>
    <row r="29" spans="1:22" s="128" customFormat="1" ht="23.1" customHeight="1">
      <c r="A29" s="877"/>
      <c r="B29" s="905"/>
      <c r="C29" s="669" t="s">
        <v>1248</v>
      </c>
      <c r="D29" s="670" t="s">
        <v>1257</v>
      </c>
      <c r="E29" s="664">
        <f>'FC-9_TRANS_SUBV'!N45+'FC-9_TRANS_SUBV'!N46</f>
        <v>0</v>
      </c>
      <c r="F29" s="638">
        <f t="shared" si="0"/>
        <v>0</v>
      </c>
      <c r="G29" s="904"/>
      <c r="H29" s="877"/>
      <c r="I29" s="774"/>
      <c r="J29" s="772"/>
      <c r="K29" s="772"/>
      <c r="L29" s="772"/>
      <c r="M29" s="772"/>
      <c r="N29" s="772"/>
      <c r="O29" s="772"/>
      <c r="P29" s="772"/>
      <c r="Q29" s="772"/>
      <c r="R29" s="772"/>
      <c r="S29" s="772"/>
      <c r="T29" s="772"/>
      <c r="U29" s="772"/>
      <c r="V29" s="773"/>
    </row>
    <row r="30" spans="1:22" s="128" customFormat="1" ht="23.1" customHeight="1">
      <c r="A30" s="877"/>
      <c r="B30" s="905"/>
      <c r="C30" s="669" t="s">
        <v>1250</v>
      </c>
      <c r="D30" s="670" t="s">
        <v>1258</v>
      </c>
      <c r="E30" s="664">
        <f>'FC-9_TRANS_SUBV'!N48</f>
        <v>0</v>
      </c>
      <c r="F30" s="639">
        <f t="shared" si="0"/>
        <v>0</v>
      </c>
      <c r="G30" s="904"/>
      <c r="H30" s="877"/>
      <c r="I30" s="774"/>
      <c r="J30" s="772"/>
      <c r="K30" s="772"/>
      <c r="L30" s="772"/>
      <c r="M30" s="772"/>
      <c r="N30" s="772"/>
      <c r="O30" s="772"/>
      <c r="P30" s="772"/>
      <c r="Q30" s="772"/>
      <c r="R30" s="772"/>
      <c r="S30" s="772"/>
      <c r="T30" s="772"/>
      <c r="U30" s="772"/>
      <c r="V30" s="773"/>
    </row>
    <row r="31" spans="1:22" s="128" customFormat="1" ht="23.1" customHeight="1">
      <c r="A31" s="877"/>
      <c r="B31" s="905"/>
      <c r="C31" s="671" t="s">
        <v>1252</v>
      </c>
      <c r="D31" s="672" t="s">
        <v>1259</v>
      </c>
      <c r="E31" s="665">
        <f>'FC-9_TRANS_SUBV'!N47</f>
        <v>0</v>
      </c>
      <c r="F31" s="641">
        <f t="shared" si="0"/>
        <v>0</v>
      </c>
      <c r="G31" s="904"/>
      <c r="H31" s="877"/>
      <c r="I31" s="774"/>
      <c r="J31" s="772"/>
      <c r="K31" s="772"/>
      <c r="L31" s="772"/>
      <c r="M31" s="772"/>
      <c r="N31" s="772"/>
      <c r="O31" s="772"/>
      <c r="P31" s="772"/>
      <c r="Q31" s="772"/>
      <c r="R31" s="772"/>
      <c r="S31" s="772"/>
      <c r="T31" s="772"/>
      <c r="U31" s="772"/>
      <c r="V31" s="773"/>
    </row>
    <row r="32" spans="1:22" s="128" customFormat="1" ht="9" customHeight="1">
      <c r="A32" s="877"/>
      <c r="B32" s="905"/>
      <c r="C32" s="8"/>
      <c r="D32" s="906"/>
      <c r="E32" s="106"/>
      <c r="F32" s="194"/>
      <c r="G32" s="904"/>
      <c r="H32" s="877"/>
      <c r="I32" s="771"/>
      <c r="J32" s="772"/>
      <c r="K32" s="772"/>
      <c r="L32" s="772"/>
      <c r="M32" s="772"/>
      <c r="N32" s="772"/>
      <c r="O32" s="772"/>
      <c r="P32" s="772"/>
      <c r="Q32" s="772"/>
      <c r="R32" s="772"/>
      <c r="S32" s="772"/>
      <c r="T32" s="772"/>
      <c r="U32" s="772"/>
      <c r="V32" s="773"/>
    </row>
    <row r="33" spans="1:22" s="40" customFormat="1" ht="23.1" customHeight="1">
      <c r="B33" s="189"/>
      <c r="C33" s="1464" t="s">
        <v>1261</v>
      </c>
      <c r="D33" s="1465"/>
      <c r="E33" s="191">
        <f>SUM(E34:E36)</f>
        <v>0</v>
      </c>
      <c r="F33" s="195">
        <f>E33/$E$38</f>
        <v>0</v>
      </c>
      <c r="G33" s="190"/>
      <c r="I33" s="771"/>
      <c r="J33" s="772"/>
      <c r="K33" s="772"/>
      <c r="L33" s="772"/>
      <c r="M33" s="772"/>
      <c r="N33" s="772"/>
      <c r="O33" s="772"/>
      <c r="P33" s="772"/>
      <c r="Q33" s="772"/>
      <c r="R33" s="772"/>
      <c r="S33" s="772"/>
      <c r="T33" s="772"/>
      <c r="U33" s="772"/>
      <c r="V33" s="773"/>
    </row>
    <row r="34" spans="1:22" s="128" customFormat="1" ht="23.1" customHeight="1">
      <c r="A34" s="877"/>
      <c r="B34" s="905"/>
      <c r="C34" s="1073" t="s">
        <v>1248</v>
      </c>
      <c r="D34" s="673" t="s">
        <v>1262</v>
      </c>
      <c r="E34" s="926"/>
      <c r="F34" s="1074">
        <f>E34/$E$38</f>
        <v>0</v>
      </c>
      <c r="G34" s="904"/>
      <c r="H34" s="877"/>
      <c r="I34" s="774" t="s">
        <v>1177</v>
      </c>
      <c r="J34" s="772"/>
      <c r="K34" s="772"/>
      <c r="L34" s="772"/>
      <c r="M34" s="772"/>
      <c r="N34" s="772"/>
      <c r="O34" s="772"/>
      <c r="P34" s="772"/>
      <c r="Q34" s="772"/>
      <c r="R34" s="772"/>
      <c r="S34" s="772"/>
      <c r="T34" s="772"/>
      <c r="U34" s="772"/>
      <c r="V34" s="773"/>
    </row>
    <row r="35" spans="1:22" s="128" customFormat="1" ht="23.1" customHeight="1">
      <c r="A35" s="877"/>
      <c r="B35" s="905"/>
      <c r="C35" s="1073" t="s">
        <v>1250</v>
      </c>
      <c r="D35" s="673" t="s">
        <v>1263</v>
      </c>
      <c r="E35" s="926"/>
      <c r="F35" s="1075">
        <f>E35/$E$38</f>
        <v>0</v>
      </c>
      <c r="G35" s="904"/>
      <c r="H35" s="877"/>
      <c r="I35" s="774" t="s">
        <v>1177</v>
      </c>
      <c r="J35" s="772"/>
      <c r="K35" s="772"/>
      <c r="L35" s="772"/>
      <c r="M35" s="772"/>
      <c r="N35" s="772"/>
      <c r="O35" s="772"/>
      <c r="P35" s="772"/>
      <c r="Q35" s="772"/>
      <c r="R35" s="772"/>
      <c r="S35" s="772"/>
      <c r="T35" s="772"/>
      <c r="U35" s="772"/>
      <c r="V35" s="773"/>
    </row>
    <row r="36" spans="1:22" s="128" customFormat="1" ht="23.1" customHeight="1">
      <c r="A36" s="877"/>
      <c r="B36" s="905"/>
      <c r="C36" s="1076" t="s">
        <v>1252</v>
      </c>
      <c r="D36" s="1007"/>
      <c r="E36" s="911"/>
      <c r="F36" s="1077">
        <f>E36/$E$38</f>
        <v>0</v>
      </c>
      <c r="G36" s="904"/>
      <c r="H36" s="877"/>
      <c r="I36" s="774" t="s">
        <v>1177</v>
      </c>
      <c r="J36" s="772"/>
      <c r="K36" s="772"/>
      <c r="L36" s="772"/>
      <c r="M36" s="772"/>
      <c r="N36" s="772"/>
      <c r="O36" s="772"/>
      <c r="P36" s="772"/>
      <c r="Q36" s="772"/>
      <c r="R36" s="772"/>
      <c r="S36" s="772"/>
      <c r="T36" s="772"/>
      <c r="U36" s="772"/>
      <c r="V36" s="773"/>
    </row>
    <row r="37" spans="1:22" s="128" customFormat="1" ht="23.1" customHeight="1">
      <c r="A37" s="877"/>
      <c r="B37" s="905"/>
      <c r="C37" s="906"/>
      <c r="D37" s="597"/>
      <c r="E37" s="494"/>
      <c r="F37" s="432"/>
      <c r="G37" s="904"/>
      <c r="H37" s="877"/>
      <c r="I37" s="771"/>
      <c r="J37" s="772"/>
      <c r="K37" s="772"/>
      <c r="L37" s="772"/>
      <c r="M37" s="772"/>
      <c r="N37" s="772"/>
      <c r="O37" s="772"/>
      <c r="P37" s="772"/>
      <c r="Q37" s="772"/>
      <c r="R37" s="772"/>
      <c r="S37" s="772"/>
      <c r="T37" s="772"/>
      <c r="U37" s="772"/>
      <c r="V37" s="773"/>
    </row>
    <row r="38" spans="1:22" s="128" customFormat="1" ht="23.1" customHeight="1" thickBot="1">
      <c r="A38" s="877"/>
      <c r="B38" s="905"/>
      <c r="C38" s="1466" t="s">
        <v>1264</v>
      </c>
      <c r="D38" s="1467"/>
      <c r="E38" s="666">
        <f>E33+E23+E21+E16</f>
        <v>4632553.3600000003</v>
      </c>
      <c r="F38" s="192">
        <f>E38/E38</f>
        <v>1</v>
      </c>
      <c r="G38" s="904"/>
      <c r="H38" s="877"/>
      <c r="I38" s="771"/>
      <c r="J38" s="772"/>
      <c r="K38" s="772"/>
      <c r="L38" s="772"/>
      <c r="M38" s="772"/>
      <c r="N38" s="772"/>
      <c r="O38" s="772"/>
      <c r="P38" s="772"/>
      <c r="Q38" s="772"/>
      <c r="R38" s="772"/>
      <c r="S38" s="772"/>
      <c r="T38" s="772"/>
      <c r="U38" s="772"/>
      <c r="V38" s="773"/>
    </row>
    <row r="39" spans="1:22" ht="23.1" customHeight="1">
      <c r="B39" s="80"/>
      <c r="C39" s="906"/>
      <c r="D39" s="597"/>
      <c r="E39" s="494"/>
      <c r="F39" s="431"/>
      <c r="G39" s="72"/>
      <c r="I39" s="771"/>
      <c r="J39" s="772"/>
      <c r="K39" s="772"/>
      <c r="L39" s="772"/>
      <c r="M39" s="772"/>
      <c r="N39" s="772"/>
      <c r="O39" s="772"/>
      <c r="P39" s="772"/>
      <c r="Q39" s="772"/>
      <c r="R39" s="772"/>
      <c r="S39" s="772"/>
      <c r="T39" s="772"/>
      <c r="U39" s="772"/>
      <c r="V39" s="773"/>
    </row>
    <row r="40" spans="1:22" ht="23.1" customHeight="1">
      <c r="B40" s="80"/>
      <c r="C40" s="308" t="s">
        <v>893</v>
      </c>
      <c r="D40" s="597"/>
      <c r="E40" s="494"/>
      <c r="F40" s="431"/>
      <c r="G40" s="72"/>
      <c r="I40" s="771"/>
      <c r="J40" s="772"/>
      <c r="K40" s="772"/>
      <c r="L40" s="772"/>
      <c r="M40" s="772"/>
      <c r="N40" s="772"/>
      <c r="O40" s="772"/>
      <c r="P40" s="772"/>
      <c r="Q40" s="772"/>
      <c r="R40" s="772"/>
      <c r="S40" s="772"/>
      <c r="T40" s="772"/>
      <c r="U40" s="772"/>
      <c r="V40" s="773"/>
    </row>
    <row r="41" spans="1:22" ht="60.95" customHeight="1">
      <c r="B41" s="80"/>
      <c r="C41" s="1468" t="s">
        <v>1265</v>
      </c>
      <c r="D41" s="1468"/>
      <c r="E41" s="1468"/>
      <c r="F41" s="1468"/>
      <c r="G41" s="72"/>
      <c r="I41" s="771"/>
      <c r="J41" s="772"/>
      <c r="K41" s="772"/>
      <c r="L41" s="772"/>
      <c r="M41" s="772"/>
      <c r="N41" s="772"/>
      <c r="O41" s="772"/>
      <c r="P41" s="772"/>
      <c r="Q41" s="772"/>
      <c r="R41" s="772"/>
      <c r="S41" s="772"/>
      <c r="T41" s="772"/>
      <c r="U41" s="772"/>
      <c r="V41" s="773"/>
    </row>
    <row r="42" spans="1:22" ht="23.1" customHeight="1" thickBot="1">
      <c r="B42" s="83"/>
      <c r="C42" s="1228"/>
      <c r="D42" s="1228"/>
      <c r="E42" s="33"/>
      <c r="F42" s="84"/>
      <c r="G42" s="85"/>
      <c r="I42" s="776"/>
      <c r="J42" s="777"/>
      <c r="K42" s="777"/>
      <c r="L42" s="777"/>
      <c r="M42" s="777"/>
      <c r="N42" s="777"/>
      <c r="O42" s="777"/>
      <c r="P42" s="777"/>
      <c r="Q42" s="777"/>
      <c r="R42" s="777"/>
      <c r="S42" s="777"/>
      <c r="T42" s="777"/>
      <c r="U42" s="777"/>
      <c r="V42" s="778"/>
    </row>
    <row r="43" spans="1:22" ht="23.1" customHeight="1">
      <c r="H43" s="65" t="s">
        <v>248</v>
      </c>
    </row>
    <row r="44" spans="1:22" ht="12.75">
      <c r="C44" s="86" t="s">
        <v>98</v>
      </c>
      <c r="F44" s="63" t="s">
        <v>1266</v>
      </c>
    </row>
    <row r="45" spans="1:22" ht="12.75">
      <c r="C45" s="86" t="s">
        <v>100</v>
      </c>
    </row>
    <row r="46" spans="1:22" ht="12.75">
      <c r="C46" s="86" t="s">
        <v>101</v>
      </c>
    </row>
    <row r="47" spans="1:22" ht="12.75">
      <c r="C47" s="86" t="s">
        <v>102</v>
      </c>
    </row>
    <row r="48" spans="1:22" ht="12.75">
      <c r="C48" s="86" t="s">
        <v>103</v>
      </c>
    </row>
  </sheetData>
  <sheetProtection sheet="1" objects="1" scenarios="1"/>
  <mergeCells count="11">
    <mergeCell ref="F6:F7"/>
    <mergeCell ref="D9:F9"/>
    <mergeCell ref="C12:D12"/>
    <mergeCell ref="C14:D14"/>
    <mergeCell ref="C16:D16"/>
    <mergeCell ref="C42:D42"/>
    <mergeCell ref="C23:D23"/>
    <mergeCell ref="C33:D33"/>
    <mergeCell ref="C38:D38"/>
    <mergeCell ref="C21:D21"/>
    <mergeCell ref="C41:F41"/>
  </mergeCells>
  <phoneticPr fontId="5" type="noConversion"/>
  <printOptions horizontalCentered="1" verticalCentered="1"/>
  <pageMargins left="0.36000000000000004" right="0.36000000000000004" top="0.6100000000000001" bottom="0.6100000000000001" header="0.5" footer="0.5"/>
  <pageSetup paperSize="9" scale="72" orientation="portrait" horizontalDpi="4294967292" verticalDpi="4294967292" r:id="rId1"/>
  <ignoredErrors>
    <ignoredError sqref="F32:F33 F18:F23 F25:F27 F35:F38" evalError="1"/>
  </ignoredErrors>
  <drawing r:id="rId2"/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59736D7-0B1E-4385-9FED-42D29B327D73}">
  <sheetPr codeName="Hoja24">
    <tabColor rgb="FFFF0000"/>
    <pageSetUpPr fitToPage="1"/>
  </sheetPr>
  <dimension ref="A2:G70"/>
  <sheetViews>
    <sheetView topLeftCell="A37" zoomScaleNormal="100" workbookViewId="0">
      <selection activeCell="D143" sqref="D143"/>
    </sheetView>
  </sheetViews>
  <sheetFormatPr baseColWidth="10" defaultColWidth="10.6640625" defaultRowHeight="23.1" customHeight="1"/>
  <cols>
    <col min="1" max="1" width="4.109375" style="65" bestFit="1" customWidth="1"/>
    <col min="2" max="2" width="3.109375" style="65" customWidth="1"/>
    <col min="3" max="3" width="13.109375" style="65" customWidth="1"/>
    <col min="4" max="4" width="68" style="65" customWidth="1"/>
    <col min="5" max="5" width="16.6640625" style="66" customWidth="1"/>
    <col min="6" max="6" width="3.33203125" style="65" customWidth="1"/>
    <col min="7" max="16384" width="10.6640625" style="65"/>
  </cols>
  <sheetData>
    <row r="2" spans="1:6" ht="23.1" customHeight="1">
      <c r="D2" s="391" t="str">
        <f>_GENERAL!D2</f>
        <v>Área de la Presidenta: Igualdad y Diversidad, Hacienda y Proyectos Estratégicos</v>
      </c>
    </row>
    <row r="3" spans="1:6" ht="23.1" customHeight="1">
      <c r="D3" s="391" t="str">
        <f>_GENERAL!D3</f>
        <v>Dirección Insular de Hacienda</v>
      </c>
    </row>
    <row r="4" spans="1:6" ht="23.1" customHeight="1" thickBot="1">
      <c r="A4" s="65" t="s">
        <v>195</v>
      </c>
    </row>
    <row r="5" spans="1:6" ht="9" customHeight="1">
      <c r="B5" s="67"/>
      <c r="C5" s="68"/>
      <c r="D5" s="68"/>
      <c r="E5" s="69"/>
      <c r="F5" s="70"/>
    </row>
    <row r="6" spans="1:6" ht="30" customHeight="1">
      <c r="B6" s="71"/>
      <c r="C6" s="40" t="s">
        <v>2</v>
      </c>
      <c r="E6" s="1212">
        <f>ejercicio</f>
        <v>2025</v>
      </c>
      <c r="F6" s="72"/>
    </row>
    <row r="7" spans="1:6" ht="30" customHeight="1">
      <c r="B7" s="71"/>
      <c r="C7" s="40" t="s">
        <v>3</v>
      </c>
      <c r="E7" s="1212"/>
      <c r="F7" s="72"/>
    </row>
    <row r="8" spans="1:6" ht="30" customHeight="1">
      <c r="B8" s="71"/>
      <c r="C8" s="73"/>
      <c r="E8" s="74"/>
      <c r="F8" s="72"/>
    </row>
    <row r="9" spans="1:6" s="128" customFormat="1" ht="30" customHeight="1">
      <c r="A9" s="877"/>
      <c r="B9" s="905"/>
      <c r="C9" s="21" t="s">
        <v>105</v>
      </c>
      <c r="D9" s="1229" t="str">
        <f>Entidad</f>
        <v>(MERCATENERIFE) Mercados Centrales de Abastecimiento de Tenerife, S.A.</v>
      </c>
      <c r="E9" s="1229"/>
      <c r="F9" s="904"/>
    </row>
    <row r="10" spans="1:6" ht="6.95" customHeight="1">
      <c r="B10" s="71"/>
      <c r="F10" s="72"/>
    </row>
    <row r="11" spans="1:6" s="79" customFormat="1" ht="30" customHeight="1">
      <c r="B11" s="75"/>
      <c r="C11" s="76" t="s">
        <v>1267</v>
      </c>
      <c r="D11" s="76"/>
      <c r="E11" s="77"/>
      <c r="F11" s="78"/>
    </row>
    <row r="12" spans="1:6" s="79" customFormat="1" ht="30" customHeight="1">
      <c r="B12" s="75"/>
      <c r="C12" s="627" t="str">
        <f ca="1">IF(_GENERAL!D16&lt;&gt;"Íntegra","No aplica a entidades con participación del Cabildo no íntegra","")</f>
        <v>No aplica a entidades con participación del Cabildo no íntegra</v>
      </c>
      <c r="D12" s="391"/>
      <c r="E12" s="64"/>
      <c r="F12" s="78"/>
    </row>
    <row r="13" spans="1:6" ht="9" customHeight="1">
      <c r="B13" s="80"/>
      <c r="C13" s="906"/>
      <c r="D13" s="906"/>
      <c r="E13" s="64"/>
      <c r="F13" s="72"/>
    </row>
    <row r="14" spans="1:6" s="149" customFormat="1" ht="24" customHeight="1">
      <c r="A14" s="597"/>
      <c r="B14" s="1064"/>
      <c r="C14" s="1353" t="s">
        <v>1268</v>
      </c>
      <c r="D14" s="1355"/>
      <c r="E14" s="177" t="s">
        <v>966</v>
      </c>
      <c r="F14" s="1065"/>
    </row>
    <row r="15" spans="1:6" ht="9" customHeight="1">
      <c r="B15" s="80"/>
      <c r="C15" s="38"/>
      <c r="D15" s="906"/>
      <c r="E15" s="64"/>
      <c r="F15" s="72"/>
    </row>
    <row r="16" spans="1:6" s="128" customFormat="1" ht="23.1" customHeight="1">
      <c r="A16" s="877"/>
      <c r="B16" s="905"/>
      <c r="C16" s="1078" t="s">
        <v>507</v>
      </c>
      <c r="D16" s="931" t="s">
        <v>1269</v>
      </c>
      <c r="E16" s="1079">
        <f>'_FC-90_DETALLE'!H16</f>
        <v>0</v>
      </c>
      <c r="F16" s="904"/>
    </row>
    <row r="17" spans="1:6" s="128" customFormat="1" ht="23.1" customHeight="1">
      <c r="A17" s="877"/>
      <c r="B17" s="905"/>
      <c r="C17" s="1073" t="s">
        <v>518</v>
      </c>
      <c r="D17" s="673" t="s">
        <v>1270</v>
      </c>
      <c r="E17" s="932">
        <f>'_FC-90_DETALLE'!H17</f>
        <v>0</v>
      </c>
      <c r="F17" s="904"/>
    </row>
    <row r="18" spans="1:6" s="128" customFormat="1" ht="23.1" customHeight="1">
      <c r="A18" s="877"/>
      <c r="B18" s="905"/>
      <c r="C18" s="1073" t="s">
        <v>523</v>
      </c>
      <c r="D18" s="673" t="s">
        <v>1271</v>
      </c>
      <c r="E18" s="932">
        <f>'_FC-90_DETALLE'!H18</f>
        <v>4632553.3600000003</v>
      </c>
      <c r="F18" s="904"/>
    </row>
    <row r="19" spans="1:6" s="128" customFormat="1" ht="23.1" customHeight="1">
      <c r="A19" s="877"/>
      <c r="B19" s="905"/>
      <c r="C19" s="1073" t="s">
        <v>527</v>
      </c>
      <c r="D19" s="673" t="s">
        <v>1272</v>
      </c>
      <c r="E19" s="932">
        <f>'_FC-90_DETALLE'!H26</f>
        <v>0</v>
      </c>
      <c r="F19" s="904"/>
    </row>
    <row r="20" spans="1:6" s="128" customFormat="1" ht="23.1" customHeight="1">
      <c r="A20" s="877"/>
      <c r="B20" s="905"/>
      <c r="C20" s="1076" t="s">
        <v>535</v>
      </c>
      <c r="D20" s="1049" t="s">
        <v>1273</v>
      </c>
      <c r="E20" s="1070">
        <f>'_FC-90_DETALLE'!H33</f>
        <v>23062.9</v>
      </c>
      <c r="F20" s="904"/>
    </row>
    <row r="21" spans="1:6" s="128" customFormat="1" ht="23.1" customHeight="1">
      <c r="A21" s="877"/>
      <c r="B21" s="905"/>
      <c r="C21" s="1464" t="s">
        <v>1274</v>
      </c>
      <c r="D21" s="1465"/>
      <c r="E21" s="191">
        <f>SUM(E16:E20)</f>
        <v>4655616.2600000007</v>
      </c>
      <c r="F21" s="904"/>
    </row>
    <row r="22" spans="1:6" s="128" customFormat="1" ht="9" customHeight="1">
      <c r="A22" s="877"/>
      <c r="B22" s="905"/>
      <c r="C22" s="8"/>
      <c r="D22" s="906"/>
      <c r="E22" s="106"/>
      <c r="F22" s="904"/>
    </row>
    <row r="23" spans="1:6" s="128" customFormat="1" ht="23.1" customHeight="1">
      <c r="A23" s="877"/>
      <c r="B23" s="905"/>
      <c r="C23" s="1078" t="s">
        <v>538</v>
      </c>
      <c r="D23" s="931" t="s">
        <v>1275</v>
      </c>
      <c r="E23" s="1079">
        <f>'_FC-90_DETALLE'!H43</f>
        <v>0</v>
      </c>
      <c r="F23" s="904"/>
    </row>
    <row r="24" spans="1:6" s="128" customFormat="1" ht="23.1" customHeight="1">
      <c r="A24" s="877"/>
      <c r="B24" s="905"/>
      <c r="C24" s="1073" t="s">
        <v>540</v>
      </c>
      <c r="D24" s="673" t="s">
        <v>1276</v>
      </c>
      <c r="E24" s="932">
        <f>'_FC-90_DETALLE'!H47</f>
        <v>0</v>
      </c>
      <c r="F24" s="904"/>
    </row>
    <row r="25" spans="1:6" s="128" customFormat="1" ht="23.1" customHeight="1">
      <c r="A25" s="877"/>
      <c r="B25" s="905"/>
      <c r="C25" s="1464" t="s">
        <v>1277</v>
      </c>
      <c r="D25" s="1465"/>
      <c r="E25" s="191">
        <f>SUM(E23:E24)</f>
        <v>0</v>
      </c>
      <c r="F25" s="904"/>
    </row>
    <row r="26" spans="1:6" s="128" customFormat="1" ht="9" customHeight="1">
      <c r="A26" s="877"/>
      <c r="B26" s="905"/>
      <c r="C26" s="8"/>
      <c r="D26" s="906"/>
      <c r="E26" s="106"/>
      <c r="F26" s="904"/>
    </row>
    <row r="27" spans="1:6" s="128" customFormat="1" ht="23.1" customHeight="1">
      <c r="A27" s="877"/>
      <c r="B27" s="905"/>
      <c r="C27" s="1078" t="s">
        <v>593</v>
      </c>
      <c r="D27" s="931" t="s">
        <v>1278</v>
      </c>
      <c r="E27" s="1079">
        <f>'_FC-90_DETALLE'!H54</f>
        <v>2000000</v>
      </c>
      <c r="F27" s="904"/>
    </row>
    <row r="28" spans="1:6" s="128" customFormat="1" ht="23.1" customHeight="1">
      <c r="A28" s="877"/>
      <c r="B28" s="905"/>
      <c r="C28" s="1073" t="s">
        <v>595</v>
      </c>
      <c r="D28" s="673" t="s">
        <v>1279</v>
      </c>
      <c r="E28" s="932">
        <f>'_FC-90_DETALLE'!H61</f>
        <v>1515042.66</v>
      </c>
      <c r="F28" s="904"/>
    </row>
    <row r="29" spans="1:6" s="128" customFormat="1" ht="23.1" customHeight="1">
      <c r="A29" s="877"/>
      <c r="B29" s="905"/>
      <c r="C29" s="1464" t="s">
        <v>1280</v>
      </c>
      <c r="D29" s="1465"/>
      <c r="E29" s="191">
        <f>SUM(E27:E28)</f>
        <v>3515042.66</v>
      </c>
      <c r="F29" s="904"/>
    </row>
    <row r="30" spans="1:6" s="128" customFormat="1" ht="23.1" customHeight="1">
      <c r="A30" s="877"/>
      <c r="B30" s="905"/>
      <c r="C30" s="906"/>
      <c r="D30" s="597"/>
      <c r="E30" s="494"/>
      <c r="F30" s="904"/>
    </row>
    <row r="31" spans="1:6" s="168" customFormat="1" ht="23.1" customHeight="1" thickBot="1">
      <c r="B31" s="75"/>
      <c r="C31" s="1469" t="s">
        <v>1281</v>
      </c>
      <c r="D31" s="1470"/>
      <c r="E31" s="196">
        <f>E21+E25+E29</f>
        <v>8170658.9200000009</v>
      </c>
      <c r="F31" s="78"/>
    </row>
    <row r="32" spans="1:6" s="128" customFormat="1" ht="9" customHeight="1">
      <c r="A32" s="877"/>
      <c r="B32" s="905"/>
      <c r="C32" s="8"/>
      <c r="D32" s="906"/>
      <c r="E32" s="106"/>
      <c r="F32" s="904"/>
    </row>
    <row r="33" spans="1:6" s="128" customFormat="1" ht="23.1" customHeight="1">
      <c r="A33" s="877"/>
      <c r="B33" s="905"/>
      <c r="C33" s="1464" t="s">
        <v>1282</v>
      </c>
      <c r="D33" s="1465"/>
      <c r="E33" s="191">
        <f>'_FC-90_DETALLE'!H78</f>
        <v>19790.64</v>
      </c>
      <c r="F33" s="904"/>
    </row>
    <row r="34" spans="1:6" s="128" customFormat="1" ht="9" customHeight="1">
      <c r="A34" s="877"/>
      <c r="B34" s="905"/>
      <c r="C34" s="8"/>
      <c r="D34" s="906"/>
      <c r="E34" s="106"/>
      <c r="F34" s="904"/>
    </row>
    <row r="35" spans="1:6" s="168" customFormat="1" ht="23.1" customHeight="1" thickBot="1">
      <c r="B35" s="75"/>
      <c r="C35" s="1469" t="s">
        <v>1281</v>
      </c>
      <c r="D35" s="1470"/>
      <c r="E35" s="196">
        <f>E31+E33</f>
        <v>8190449.5600000005</v>
      </c>
      <c r="F35" s="78"/>
    </row>
    <row r="36" spans="1:6" s="128" customFormat="1" ht="23.1" customHeight="1">
      <c r="A36" s="877"/>
      <c r="B36" s="905"/>
      <c r="C36" s="197"/>
      <c r="D36" s="197"/>
      <c r="E36" s="198"/>
      <c r="F36" s="904"/>
    </row>
    <row r="37" spans="1:6" s="149" customFormat="1" ht="24" customHeight="1">
      <c r="A37" s="597"/>
      <c r="B37" s="1064"/>
      <c r="C37" s="1353" t="s">
        <v>1283</v>
      </c>
      <c r="D37" s="1355"/>
      <c r="E37" s="177" t="s">
        <v>966</v>
      </c>
      <c r="F37" s="1065"/>
    </row>
    <row r="38" spans="1:6" ht="9" customHeight="1">
      <c r="B38" s="80"/>
      <c r="C38" s="38"/>
      <c r="D38" s="906"/>
      <c r="E38" s="64"/>
      <c r="F38" s="72"/>
    </row>
    <row r="39" spans="1:6" s="128" customFormat="1" ht="23.1" customHeight="1">
      <c r="A39" s="877"/>
      <c r="B39" s="905"/>
      <c r="C39" s="1078" t="s">
        <v>507</v>
      </c>
      <c r="D39" s="931" t="s">
        <v>1284</v>
      </c>
      <c r="E39" s="1079">
        <f>'_FC-90_DETALLE'!H94</f>
        <v>678188.41999999993</v>
      </c>
      <c r="F39" s="904"/>
    </row>
    <row r="40" spans="1:6" s="128" customFormat="1" ht="23.1" customHeight="1">
      <c r="A40" s="877"/>
      <c r="B40" s="905"/>
      <c r="C40" s="1073" t="s">
        <v>518</v>
      </c>
      <c r="D40" s="673" t="s">
        <v>1285</v>
      </c>
      <c r="E40" s="932">
        <f>'_FC-90_DETALLE'!H99</f>
        <v>1673143.67</v>
      </c>
      <c r="F40" s="904"/>
    </row>
    <row r="41" spans="1:6" s="128" customFormat="1" ht="23.1" customHeight="1">
      <c r="A41" s="877"/>
      <c r="B41" s="905"/>
      <c r="C41" s="1073" t="s">
        <v>523</v>
      </c>
      <c r="D41" s="673" t="s">
        <v>1286</v>
      </c>
      <c r="E41" s="932">
        <f>'_FC-90_DETALLE'!H112</f>
        <v>0</v>
      </c>
      <c r="F41" s="904"/>
    </row>
    <row r="42" spans="1:6" s="128" customFormat="1" ht="23.1" customHeight="1">
      <c r="A42" s="877"/>
      <c r="B42" s="905"/>
      <c r="C42" s="1073" t="s">
        <v>527</v>
      </c>
      <c r="D42" s="673" t="s">
        <v>1287</v>
      </c>
      <c r="E42" s="932">
        <f>'_FC-90_DETALLE'!H118</f>
        <v>1000000</v>
      </c>
      <c r="F42" s="904"/>
    </row>
    <row r="43" spans="1:6" s="128" customFormat="1" ht="23.1" customHeight="1">
      <c r="A43" s="877"/>
      <c r="B43" s="905"/>
      <c r="C43" s="1464" t="s">
        <v>1288</v>
      </c>
      <c r="D43" s="1465"/>
      <c r="E43" s="191">
        <f>SUM(E39:E42)</f>
        <v>3351332.09</v>
      </c>
      <c r="F43" s="904"/>
    </row>
    <row r="44" spans="1:6" s="128" customFormat="1" ht="9" customHeight="1">
      <c r="A44" s="877"/>
      <c r="B44" s="905"/>
      <c r="C44" s="8"/>
      <c r="D44" s="906"/>
      <c r="E44" s="106"/>
      <c r="F44" s="904"/>
    </row>
    <row r="45" spans="1:6" s="128" customFormat="1" ht="23.1" customHeight="1">
      <c r="A45" s="877"/>
      <c r="B45" s="905"/>
      <c r="C45" s="1078" t="s">
        <v>538</v>
      </c>
      <c r="D45" s="931" t="s">
        <v>1289</v>
      </c>
      <c r="E45" s="1079">
        <f>'_FC-90_DETALLE'!H124</f>
        <v>4612000</v>
      </c>
      <c r="F45" s="904"/>
    </row>
    <row r="46" spans="1:6" s="128" customFormat="1" ht="23.1" customHeight="1">
      <c r="A46" s="877"/>
      <c r="B46" s="905"/>
      <c r="C46" s="1073" t="s">
        <v>540</v>
      </c>
      <c r="D46" s="673" t="s">
        <v>1276</v>
      </c>
      <c r="E46" s="932">
        <f>'_FC-90_DETALLE'!H129</f>
        <v>0</v>
      </c>
      <c r="F46" s="904"/>
    </row>
    <row r="47" spans="1:6" s="128" customFormat="1" ht="23.1" customHeight="1">
      <c r="A47" s="877"/>
      <c r="B47" s="905"/>
      <c r="C47" s="1464" t="s">
        <v>1290</v>
      </c>
      <c r="D47" s="1465"/>
      <c r="E47" s="191">
        <f>SUM(E45:E46)</f>
        <v>4612000</v>
      </c>
      <c r="F47" s="904"/>
    </row>
    <row r="48" spans="1:6" s="128" customFormat="1" ht="9" customHeight="1">
      <c r="A48" s="877"/>
      <c r="B48" s="905"/>
      <c r="C48" s="8"/>
      <c r="D48" s="906"/>
      <c r="E48" s="106"/>
      <c r="F48" s="904"/>
    </row>
    <row r="49" spans="1:6" s="128" customFormat="1" ht="23.1" customHeight="1">
      <c r="A49" s="877"/>
      <c r="B49" s="905"/>
      <c r="C49" s="1078" t="s">
        <v>593</v>
      </c>
      <c r="D49" s="931" t="s">
        <v>1278</v>
      </c>
      <c r="E49" s="1079">
        <f>'_FC-90_DETALLE'!H135</f>
        <v>1000000</v>
      </c>
      <c r="F49" s="904"/>
    </row>
    <row r="50" spans="1:6" s="128" customFormat="1" ht="23.1" customHeight="1">
      <c r="A50" s="877"/>
      <c r="B50" s="905"/>
      <c r="C50" s="1073" t="s">
        <v>595</v>
      </c>
      <c r="D50" s="673" t="s">
        <v>1279</v>
      </c>
      <c r="E50" s="932">
        <f>'_FC-90_DETALLE'!H142</f>
        <v>0</v>
      </c>
      <c r="F50" s="904"/>
    </row>
    <row r="51" spans="1:6" s="128" customFormat="1" ht="23.1" customHeight="1">
      <c r="A51" s="877"/>
      <c r="B51" s="905"/>
      <c r="C51" s="1464" t="s">
        <v>1291</v>
      </c>
      <c r="D51" s="1465"/>
      <c r="E51" s="191">
        <f>SUM(E49:E50)</f>
        <v>1000000</v>
      </c>
      <c r="F51" s="904"/>
    </row>
    <row r="52" spans="1:6" s="128" customFormat="1" ht="9" customHeight="1">
      <c r="A52" s="877"/>
      <c r="B52" s="905"/>
      <c r="C52" s="906"/>
      <c r="D52" s="597"/>
      <c r="E52" s="494"/>
      <c r="F52" s="904"/>
    </row>
    <row r="53" spans="1:6" s="168" customFormat="1" ht="23.1" customHeight="1" thickBot="1">
      <c r="B53" s="75"/>
      <c r="C53" s="1469" t="s">
        <v>1292</v>
      </c>
      <c r="D53" s="1470"/>
      <c r="E53" s="196">
        <f>E43+E47+E51</f>
        <v>8963332.0899999999</v>
      </c>
      <c r="F53" s="78"/>
    </row>
    <row r="54" spans="1:6" s="128" customFormat="1" ht="9" customHeight="1">
      <c r="A54" s="877"/>
      <c r="B54" s="905"/>
      <c r="C54" s="8"/>
      <c r="D54" s="906"/>
      <c r="E54" s="106"/>
      <c r="F54" s="904"/>
    </row>
    <row r="55" spans="1:6" s="128" customFormat="1" ht="24" customHeight="1">
      <c r="A55" s="877"/>
      <c r="B55" s="905"/>
      <c r="C55" s="1464" t="s">
        <v>1293</v>
      </c>
      <c r="D55" s="1465"/>
      <c r="E55" s="191">
        <f>'_FC-90_DETALLE'!H157</f>
        <v>713501.17</v>
      </c>
      <c r="F55" s="904"/>
    </row>
    <row r="56" spans="1:6" s="128" customFormat="1" ht="9" customHeight="1">
      <c r="A56" s="877"/>
      <c r="B56" s="905"/>
      <c r="C56" s="8"/>
      <c r="D56" s="906"/>
      <c r="E56" s="106"/>
      <c r="F56" s="904"/>
    </row>
    <row r="57" spans="1:6" s="128" customFormat="1" ht="24" customHeight="1" thickBot="1">
      <c r="A57" s="877"/>
      <c r="B57" s="905"/>
      <c r="C57" s="1469" t="s">
        <v>1292</v>
      </c>
      <c r="D57" s="1470"/>
      <c r="E57" s="196">
        <f>E53+E55</f>
        <v>9676833.2599999998</v>
      </c>
      <c r="F57" s="904"/>
    </row>
    <row r="58" spans="1:6" s="128" customFormat="1" ht="24" customHeight="1">
      <c r="A58" s="877"/>
      <c r="B58" s="905"/>
      <c r="C58" s="8"/>
      <c r="D58" s="906"/>
      <c r="E58" s="106"/>
      <c r="F58" s="904"/>
    </row>
    <row r="59" spans="1:6" s="128" customFormat="1" ht="24" customHeight="1" thickBot="1">
      <c r="A59" s="877"/>
      <c r="B59" s="905"/>
      <c r="C59" s="593" t="s">
        <v>1294</v>
      </c>
      <c r="D59" s="594"/>
      <c r="E59" s="595">
        <f>E35-E57</f>
        <v>-1486383.6999999993</v>
      </c>
      <c r="F59" s="904"/>
    </row>
    <row r="60" spans="1:6" s="128" customFormat="1" ht="24" customHeight="1" thickTop="1">
      <c r="A60" s="877"/>
      <c r="B60" s="905"/>
      <c r="C60" s="8"/>
      <c r="D60" s="906"/>
      <c r="E60" s="106"/>
      <c r="F60" s="904"/>
    </row>
    <row r="61" spans="1:6" s="128" customFormat="1" ht="24" customHeight="1" thickBot="1">
      <c r="A61" s="877"/>
      <c r="B61" s="905"/>
      <c r="C61" s="593" t="s">
        <v>1295</v>
      </c>
      <c r="D61" s="594"/>
      <c r="E61" s="595">
        <f>'_FC-90_DETALLE'!H175</f>
        <v>1486383.7</v>
      </c>
      <c r="F61" s="904"/>
    </row>
    <row r="62" spans="1:6" s="128" customFormat="1" ht="24" customHeight="1" thickTop="1">
      <c r="A62" s="877"/>
      <c r="B62" s="905"/>
      <c r="C62" s="8"/>
      <c r="D62" s="906"/>
      <c r="E62" s="106"/>
      <c r="F62" s="904"/>
    </row>
    <row r="63" spans="1:6" s="128" customFormat="1" ht="24" customHeight="1" thickBot="1">
      <c r="A63" s="877"/>
      <c r="B63" s="905"/>
      <c r="C63" s="593" t="s">
        <v>1296</v>
      </c>
      <c r="D63" s="594"/>
      <c r="E63" s="595">
        <f>+E59+E61</f>
        <v>0</v>
      </c>
      <c r="F63" s="904"/>
    </row>
    <row r="64" spans="1:6" ht="23.1" customHeight="1" thickTop="1" thickBot="1">
      <c r="B64" s="83"/>
      <c r="C64" s="1228"/>
      <c r="D64" s="1228"/>
      <c r="E64" s="84"/>
      <c r="F64" s="85"/>
    </row>
    <row r="65" spans="3:7" ht="23.1" customHeight="1">
      <c r="G65" s="65" t="s">
        <v>248</v>
      </c>
    </row>
    <row r="66" spans="3:7" ht="12.75">
      <c r="C66" s="86" t="s">
        <v>98</v>
      </c>
      <c r="E66" s="63" t="s">
        <v>1266</v>
      </c>
    </row>
    <row r="67" spans="3:7" ht="12.75">
      <c r="C67" s="86" t="s">
        <v>100</v>
      </c>
    </row>
    <row r="68" spans="3:7" ht="12.75">
      <c r="C68" s="86" t="s">
        <v>101</v>
      </c>
    </row>
    <row r="69" spans="3:7" ht="12.75">
      <c r="C69" s="86" t="s">
        <v>102</v>
      </c>
    </row>
    <row r="70" spans="3:7" ht="12.75">
      <c r="C70" s="86" t="s">
        <v>103</v>
      </c>
    </row>
  </sheetData>
  <sheetProtection sheet="1" objects="1" scenarios="1"/>
  <mergeCells count="17">
    <mergeCell ref="C55:D55"/>
    <mergeCell ref="C57:D57"/>
    <mergeCell ref="C25:D25"/>
    <mergeCell ref="E6:E7"/>
    <mergeCell ref="D9:E9"/>
    <mergeCell ref="C14:D14"/>
    <mergeCell ref="C21:D21"/>
    <mergeCell ref="C47:D47"/>
    <mergeCell ref="C51:D51"/>
    <mergeCell ref="C53:D53"/>
    <mergeCell ref="C64:D64"/>
    <mergeCell ref="C29:D29"/>
    <mergeCell ref="C31:D31"/>
    <mergeCell ref="C37:D37"/>
    <mergeCell ref="C43:D43"/>
    <mergeCell ref="C33:D33"/>
    <mergeCell ref="C35:D35"/>
  </mergeCells>
  <phoneticPr fontId="5" type="noConversion"/>
  <printOptions horizontalCentered="1" verticalCentered="1"/>
  <pageMargins left="0.36000000000000004" right="0.36000000000000004" top="0.6100000000000001" bottom="0.6100000000000001" header="0.5" footer="0.5"/>
  <pageSetup paperSize="9" scale="57" orientation="portrait" horizontalDpi="4294967292" verticalDpi="4294967292" r:id="rId1"/>
  <drawing r:id="rId2"/>
</worksheet>
</file>

<file path=xl/worksheets/sheet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EBA1403-9C28-47AB-A0E1-115470BA066D}">
  <sheetPr codeName="Hoja25">
    <tabColor rgb="FFFF0000"/>
  </sheetPr>
  <dimension ref="B1:X248"/>
  <sheetViews>
    <sheetView zoomScale="114" workbookViewId="0">
      <pane xSplit="4" ySplit="14" topLeftCell="E89" activePane="bottomRight" state="frozen"/>
      <selection pane="topRight" activeCell="D43" sqref="D43:H43"/>
      <selection pane="bottomLeft" activeCell="D43" sqref="D43:H43"/>
      <selection pane="bottomRight" activeCell="A98" sqref="A95:IV98"/>
    </sheetView>
  </sheetViews>
  <sheetFormatPr baseColWidth="10" defaultColWidth="10.6640625" defaultRowHeight="23.1" customHeight="1"/>
  <cols>
    <col min="1" max="2" width="3.109375" style="66" customWidth="1"/>
    <col min="3" max="3" width="13.109375" style="66" customWidth="1"/>
    <col min="4" max="4" width="88.109375" style="66" customWidth="1"/>
    <col min="5" max="7" width="21.6640625" style="430" customWidth="1"/>
    <col min="8" max="8" width="21.6640625" style="66" customWidth="1"/>
    <col min="9" max="9" width="3.33203125" style="66" customWidth="1"/>
    <col min="10" max="10" width="10" style="66" customWidth="1"/>
    <col min="11" max="11" width="62" style="66" customWidth="1"/>
    <col min="12" max="16384" width="10.6640625" style="66"/>
  </cols>
  <sheetData>
    <row r="1" spans="2:24" ht="33" customHeight="1"/>
    <row r="2" spans="2:24" ht="29.1" customHeight="1">
      <c r="D2" s="391" t="str">
        <f>_GENERAL!D2</f>
        <v>Área de la Presidenta: Igualdad y Diversidad, Hacienda y Proyectos Estratégicos</v>
      </c>
      <c r="E2" s="432"/>
      <c r="F2" s="432"/>
      <c r="G2" s="432"/>
    </row>
    <row r="3" spans="2:24" ht="29.1" customHeight="1">
      <c r="D3" s="391" t="str">
        <f>_GENERAL!D3</f>
        <v>Dirección Insular de Hacienda</v>
      </c>
      <c r="E3" s="432"/>
      <c r="F3" s="432"/>
      <c r="G3" s="432"/>
    </row>
    <row r="4" spans="2:24" ht="18" customHeight="1" thickBot="1"/>
    <row r="5" spans="2:24" ht="12.75">
      <c r="B5" s="433"/>
      <c r="C5" s="69"/>
      <c r="D5" s="69"/>
      <c r="E5" s="434"/>
      <c r="F5" s="434"/>
      <c r="G5" s="434"/>
      <c r="H5" s="69"/>
      <c r="I5" s="435"/>
      <c r="K5" s="746"/>
      <c r="L5" s="747"/>
      <c r="M5" s="747"/>
      <c r="N5" s="747"/>
      <c r="O5" s="747"/>
      <c r="P5" s="747"/>
      <c r="Q5" s="747"/>
      <c r="R5" s="747"/>
      <c r="S5" s="747"/>
      <c r="T5" s="747"/>
      <c r="U5" s="747"/>
      <c r="V5" s="747"/>
      <c r="W5" s="747"/>
      <c r="X5" s="744"/>
    </row>
    <row r="6" spans="2:24" ht="23.25">
      <c r="B6" s="436"/>
      <c r="C6" s="437" t="s">
        <v>2</v>
      </c>
      <c r="H6" s="1493">
        <f>ejercicio</f>
        <v>2025</v>
      </c>
      <c r="I6" s="438"/>
      <c r="K6" s="749"/>
      <c r="L6" s="1080"/>
      <c r="M6" s="1080"/>
      <c r="N6" s="1081"/>
      <c r="O6" s="1081"/>
      <c r="P6" s="1081"/>
      <c r="Q6" s="1081"/>
      <c r="R6" s="1081"/>
      <c r="S6" s="1081"/>
      <c r="T6" s="1081"/>
      <c r="U6" s="1081"/>
      <c r="V6" s="1081"/>
      <c r="W6" s="1081"/>
      <c r="X6" s="745"/>
    </row>
    <row r="7" spans="2:24" ht="15.75">
      <c r="B7" s="436"/>
      <c r="C7" s="437" t="s">
        <v>3</v>
      </c>
      <c r="H7" s="1493"/>
      <c r="I7" s="438"/>
      <c r="K7" s="750"/>
      <c r="L7" s="1080"/>
      <c r="M7" s="1080"/>
      <c r="N7" s="1080"/>
      <c r="O7" s="1080"/>
      <c r="P7" s="1080"/>
      <c r="Q7" s="1080"/>
      <c r="R7" s="1080"/>
      <c r="S7" s="1080"/>
      <c r="T7" s="1080"/>
      <c r="U7" s="1080"/>
      <c r="V7" s="1080"/>
      <c r="W7" s="1080"/>
      <c r="X7" s="745"/>
    </row>
    <row r="8" spans="2:24" ht="15">
      <c r="B8" s="436"/>
      <c r="C8" s="439"/>
      <c r="H8" s="74"/>
      <c r="I8" s="438"/>
      <c r="K8" s="750"/>
      <c r="L8" s="1081"/>
      <c r="N8" s="1081"/>
      <c r="O8" s="1081"/>
      <c r="P8" s="1081"/>
      <c r="Q8" s="1081"/>
      <c r="R8" s="1081"/>
      <c r="S8" s="1081"/>
      <c r="T8" s="1081"/>
      <c r="U8" s="1081"/>
      <c r="V8" s="1081"/>
      <c r="W8" s="1081"/>
      <c r="X8" s="745"/>
    </row>
    <row r="9" spans="2:24" s="443" customFormat="1" ht="21.95" customHeight="1" thickBot="1">
      <c r="B9" s="440"/>
      <c r="C9" s="441" t="s">
        <v>105</v>
      </c>
      <c r="D9" s="1494" t="str">
        <f>Entidad</f>
        <v>(MERCATENERIFE) Mercados Centrales de Abastecimiento de Tenerife, S.A.</v>
      </c>
      <c r="E9" s="1494"/>
      <c r="F9" s="1494"/>
      <c r="G9" s="1494"/>
      <c r="H9" s="1494"/>
      <c r="I9" s="442"/>
      <c r="K9" s="1082"/>
      <c r="L9" s="1083"/>
      <c r="M9" s="1083"/>
      <c r="N9" s="1083"/>
      <c r="O9" s="1083"/>
      <c r="P9" s="1083"/>
      <c r="Q9" s="1083"/>
      <c r="R9" s="1083"/>
      <c r="S9" s="1083"/>
      <c r="T9" s="1083"/>
      <c r="U9" s="1083"/>
      <c r="V9" s="1083"/>
      <c r="W9" s="1083"/>
      <c r="X9" s="770"/>
    </row>
    <row r="10" spans="2:24" ht="12.75">
      <c r="B10" s="436"/>
      <c r="I10" s="438"/>
    </row>
    <row r="11" spans="2:24" s="64" customFormat="1" ht="27" customHeight="1">
      <c r="B11" s="444"/>
      <c r="C11" s="77" t="s">
        <v>1267</v>
      </c>
      <c r="D11" s="77"/>
      <c r="E11" s="445"/>
      <c r="F11" s="445"/>
      <c r="G11" s="445"/>
      <c r="H11" s="77"/>
      <c r="I11" s="446"/>
    </row>
    <row r="12" spans="2:24" s="64" customFormat="1" ht="18">
      <c r="B12" s="444"/>
      <c r="C12" s="628" t="str">
        <f ca="1">IF(_GENERAL!D16&lt;&gt;"Íntegra","No aplica a entidades con participación del Cabildo no íntegra","")</f>
        <v>No aplica a entidades con participación del Cabildo no íntegra</v>
      </c>
      <c r="D12" s="494"/>
      <c r="E12" s="432"/>
      <c r="F12" s="432"/>
      <c r="G12" s="432"/>
      <c r="I12" s="446"/>
    </row>
    <row r="13" spans="2:24" ht="18">
      <c r="B13" s="447"/>
      <c r="C13" s="448"/>
      <c r="D13" s="448"/>
      <c r="E13" s="432"/>
      <c r="F13" s="432"/>
      <c r="G13" s="432"/>
      <c r="H13" s="64"/>
      <c r="I13" s="438"/>
    </row>
    <row r="14" spans="2:24" s="452" customFormat="1" ht="23.25">
      <c r="B14" s="449"/>
      <c r="C14" s="1480" t="s">
        <v>1268</v>
      </c>
      <c r="D14" s="1481"/>
      <c r="E14" s="450" t="s">
        <v>1297</v>
      </c>
      <c r="F14" s="450" t="s">
        <v>1298</v>
      </c>
      <c r="G14" s="450" t="s">
        <v>1299</v>
      </c>
      <c r="H14" s="305" t="s">
        <v>1300</v>
      </c>
      <c r="I14" s="451"/>
      <c r="K14" s="305" t="s">
        <v>1301</v>
      </c>
    </row>
    <row r="15" spans="2:24" ht="18">
      <c r="B15" s="447"/>
      <c r="C15" s="61"/>
      <c r="D15" s="448"/>
      <c r="E15" s="432"/>
      <c r="F15" s="432"/>
      <c r="G15" s="432"/>
      <c r="H15" s="64"/>
      <c r="I15" s="438"/>
    </row>
    <row r="16" spans="2:24" s="458" customFormat="1" ht="18">
      <c r="B16" s="453"/>
      <c r="C16" s="454" t="s">
        <v>507</v>
      </c>
      <c r="D16" s="176" t="s">
        <v>1269</v>
      </c>
      <c r="E16" s="455">
        <v>0</v>
      </c>
      <c r="F16" s="455">
        <v>0</v>
      </c>
      <c r="G16" s="455">
        <v>0</v>
      </c>
      <c r="H16" s="456">
        <f>SUM(E16:G16)</f>
        <v>0</v>
      </c>
      <c r="I16" s="457"/>
      <c r="K16" s="568"/>
    </row>
    <row r="17" spans="2:12" s="458" customFormat="1" ht="18">
      <c r="B17" s="453"/>
      <c r="C17" s="454" t="s">
        <v>518</v>
      </c>
      <c r="D17" s="176" t="s">
        <v>1270</v>
      </c>
      <c r="E17" s="455">
        <v>0</v>
      </c>
      <c r="F17" s="455">
        <v>0</v>
      </c>
      <c r="G17" s="455">
        <v>0</v>
      </c>
      <c r="H17" s="456">
        <f>SUM(E17:G17)</f>
        <v>0</v>
      </c>
      <c r="I17" s="457"/>
      <c r="K17" s="568"/>
    </row>
    <row r="18" spans="2:12" s="458" customFormat="1" ht="18">
      <c r="B18" s="453"/>
      <c r="C18" s="454" t="s">
        <v>523</v>
      </c>
      <c r="D18" s="176" t="s">
        <v>1271</v>
      </c>
      <c r="E18" s="455">
        <f>SUM(E19:E25)</f>
        <v>4632553.3600000003</v>
      </c>
      <c r="F18" s="455">
        <f>SUM(F19:F25)</f>
        <v>0</v>
      </c>
      <c r="G18" s="455">
        <f>SUM(G19:G25)</f>
        <v>0</v>
      </c>
      <c r="H18" s="455">
        <f>SUM(H19:H25)</f>
        <v>4632553.3600000003</v>
      </c>
      <c r="I18" s="457"/>
      <c r="K18" s="568"/>
    </row>
    <row r="19" spans="2:12" s="154" customFormat="1" ht="18" hidden="1">
      <c r="B19" s="447"/>
      <c r="C19" s="459" t="s">
        <v>443</v>
      </c>
      <c r="D19" s="460" t="s">
        <v>1302</v>
      </c>
      <c r="E19" s="461">
        <f>'FC-3_CPyG'!H16</f>
        <v>4632553.3600000003</v>
      </c>
      <c r="F19" s="462"/>
      <c r="G19" s="555"/>
      <c r="H19" s="463">
        <f t="shared" ref="H19:H25" si="0">SUM(E19:G19)</f>
        <v>4632553.3600000003</v>
      </c>
      <c r="I19" s="464"/>
      <c r="K19" s="568"/>
    </row>
    <row r="20" spans="2:12" s="154" customFormat="1" ht="18" hidden="1">
      <c r="B20" s="447"/>
      <c r="C20" s="459" t="s">
        <v>502</v>
      </c>
      <c r="D20" s="460" t="s">
        <v>1303</v>
      </c>
      <c r="E20" s="461">
        <f>'FC-3_1_INF_ADIC_CPyG'!E74</f>
        <v>0</v>
      </c>
      <c r="F20" s="462"/>
      <c r="G20" s="555"/>
      <c r="H20" s="463">
        <f t="shared" si="0"/>
        <v>0</v>
      </c>
      <c r="I20" s="464"/>
      <c r="K20" s="568"/>
    </row>
    <row r="21" spans="2:12" s="154" customFormat="1" ht="18" hidden="1">
      <c r="B21" s="447"/>
      <c r="C21" s="459" t="s">
        <v>502</v>
      </c>
      <c r="D21" s="460" t="s">
        <v>1304</v>
      </c>
      <c r="E21" s="461">
        <f>'FC-3_1_INF_ADIC_CPyG'!E76</f>
        <v>0</v>
      </c>
      <c r="F21" s="462"/>
      <c r="G21" s="555"/>
      <c r="H21" s="463">
        <f t="shared" si="0"/>
        <v>0</v>
      </c>
      <c r="I21" s="464"/>
      <c r="K21" s="568"/>
    </row>
    <row r="22" spans="2:12" s="154" customFormat="1" ht="18" hidden="1">
      <c r="B22" s="447"/>
      <c r="C22" s="459" t="s">
        <v>502</v>
      </c>
      <c r="D22" s="460" t="s">
        <v>1305</v>
      </c>
      <c r="E22" s="461">
        <f>'FC-3_1_INF_ADIC_CPyG'!E48</f>
        <v>0</v>
      </c>
      <c r="F22" s="462"/>
      <c r="G22" s="555"/>
      <c r="H22" s="463">
        <f t="shared" si="0"/>
        <v>0</v>
      </c>
      <c r="I22" s="464"/>
      <c r="K22" s="568"/>
      <c r="L22" s="465"/>
    </row>
    <row r="23" spans="2:12" s="154" customFormat="1" ht="18" hidden="1">
      <c r="B23" s="447"/>
      <c r="C23" s="459"/>
      <c r="D23" s="460" t="s">
        <v>1306</v>
      </c>
      <c r="E23" s="462"/>
      <c r="F23" s="462"/>
      <c r="G23" s="555"/>
      <c r="H23" s="463">
        <f t="shared" si="0"/>
        <v>0</v>
      </c>
      <c r="I23" s="464"/>
      <c r="K23" s="568"/>
      <c r="L23" s="465" t="s">
        <v>1307</v>
      </c>
    </row>
    <row r="24" spans="2:12" s="154" customFormat="1" ht="18" hidden="1">
      <c r="B24" s="447"/>
      <c r="C24" s="563"/>
      <c r="D24" s="572"/>
      <c r="E24" s="462"/>
      <c r="F24" s="462"/>
      <c r="G24" s="555"/>
      <c r="H24" s="463">
        <f t="shared" si="0"/>
        <v>0</v>
      </c>
      <c r="I24" s="464"/>
      <c r="K24" s="568"/>
      <c r="L24" s="465"/>
    </row>
    <row r="25" spans="2:12" s="154" customFormat="1" ht="18" hidden="1">
      <c r="B25" s="447"/>
      <c r="C25" s="563"/>
      <c r="D25" s="572"/>
      <c r="E25" s="462"/>
      <c r="F25" s="462"/>
      <c r="G25" s="555"/>
      <c r="H25" s="463">
        <f t="shared" si="0"/>
        <v>0</v>
      </c>
      <c r="I25" s="464"/>
      <c r="K25" s="568"/>
      <c r="L25" s="465"/>
    </row>
    <row r="26" spans="2:12" s="458" customFormat="1" ht="18">
      <c r="B26" s="453"/>
      <c r="C26" s="454" t="s">
        <v>527</v>
      </c>
      <c r="D26" s="176" t="s">
        <v>1272</v>
      </c>
      <c r="E26" s="455">
        <f>SUM(E27:E32)</f>
        <v>0</v>
      </c>
      <c r="F26" s="455">
        <f>SUM(F27:F32)</f>
        <v>0</v>
      </c>
      <c r="G26" s="455">
        <f>SUM(G27:G32)</f>
        <v>0</v>
      </c>
      <c r="H26" s="455">
        <f>SUM(H27:H32)</f>
        <v>0</v>
      </c>
      <c r="I26" s="457"/>
      <c r="K26" s="568"/>
    </row>
    <row r="27" spans="2:12" s="154" customFormat="1" ht="18" hidden="1">
      <c r="B27" s="447"/>
      <c r="C27" s="459" t="s">
        <v>443</v>
      </c>
      <c r="D27" s="460" t="s">
        <v>1308</v>
      </c>
      <c r="E27" s="461">
        <f>'FC-3_CPyG'!H29</f>
        <v>0</v>
      </c>
      <c r="F27" s="462"/>
      <c r="G27" s="555"/>
      <c r="H27" s="463">
        <f t="shared" ref="H27:H32" si="1">SUM(E27:G27)</f>
        <v>0</v>
      </c>
      <c r="I27" s="464"/>
      <c r="K27" s="568"/>
    </row>
    <row r="28" spans="2:12" s="154" customFormat="1" ht="18" hidden="1">
      <c r="B28" s="447"/>
      <c r="C28" s="459" t="s">
        <v>910</v>
      </c>
      <c r="D28" s="475" t="s">
        <v>1309</v>
      </c>
      <c r="E28" s="462"/>
      <c r="F28" s="476">
        <f>-'FC-9_TRANS_SUBV'!L91</f>
        <v>0</v>
      </c>
      <c r="G28" s="555"/>
      <c r="H28" s="463">
        <f t="shared" si="1"/>
        <v>0</v>
      </c>
      <c r="I28" s="464"/>
      <c r="K28" s="568"/>
    </row>
    <row r="29" spans="2:12" s="154" customFormat="1" ht="18" hidden="1">
      <c r="B29" s="447"/>
      <c r="C29" s="459" t="s">
        <v>910</v>
      </c>
      <c r="D29" s="475" t="s">
        <v>1310</v>
      </c>
      <c r="E29" s="462"/>
      <c r="F29" s="476">
        <f>'FC-9_TRANS_SUBV'!J91</f>
        <v>0</v>
      </c>
      <c r="G29" s="555"/>
      <c r="H29" s="463">
        <f t="shared" si="1"/>
        <v>0</v>
      </c>
      <c r="I29" s="464"/>
      <c r="K29" s="568"/>
      <c r="L29" s="465"/>
    </row>
    <row r="30" spans="2:12" s="154" customFormat="1" ht="18" hidden="1">
      <c r="B30" s="447"/>
      <c r="C30" s="563" t="s">
        <v>958</v>
      </c>
      <c r="D30" s="475" t="s">
        <v>1311</v>
      </c>
      <c r="E30" s="462"/>
      <c r="F30" s="859">
        <f>'FC-9_1_SUBV_REINT'!M62</f>
        <v>0</v>
      </c>
      <c r="G30" s="555"/>
      <c r="H30" s="463">
        <f t="shared" si="1"/>
        <v>0</v>
      </c>
      <c r="I30" s="464"/>
      <c r="K30" s="568"/>
      <c r="L30" s="465"/>
    </row>
    <row r="31" spans="2:12" s="154" customFormat="1" ht="18" hidden="1">
      <c r="B31" s="447"/>
      <c r="C31" s="565"/>
      <c r="D31" s="720"/>
      <c r="E31" s="462"/>
      <c r="F31" s="476"/>
      <c r="G31" s="556"/>
      <c r="H31" s="463">
        <f t="shared" si="1"/>
        <v>0</v>
      </c>
      <c r="I31" s="464"/>
      <c r="K31" s="568"/>
      <c r="L31" s="465"/>
    </row>
    <row r="32" spans="2:12" s="154" customFormat="1" ht="18" hidden="1">
      <c r="B32" s="447"/>
      <c r="C32" s="565"/>
      <c r="D32" s="573"/>
      <c r="E32" s="462"/>
      <c r="F32" s="462"/>
      <c r="G32" s="556"/>
      <c r="H32" s="463">
        <f t="shared" si="1"/>
        <v>0</v>
      </c>
      <c r="I32" s="464"/>
      <c r="K32" s="568"/>
    </row>
    <row r="33" spans="2:12" s="458" customFormat="1" ht="18">
      <c r="B33" s="453"/>
      <c r="C33" s="454" t="s">
        <v>535</v>
      </c>
      <c r="D33" s="176" t="s">
        <v>1273</v>
      </c>
      <c r="E33" s="455">
        <f>SUM(E34:E40)</f>
        <v>23062.9</v>
      </c>
      <c r="F33" s="455">
        <f>SUM(F34:F40)</f>
        <v>0</v>
      </c>
      <c r="G33" s="455">
        <f>SUM(G34:G40)</f>
        <v>0</v>
      </c>
      <c r="H33" s="455">
        <f>SUM(H34:H40)</f>
        <v>23062.9</v>
      </c>
      <c r="I33" s="457"/>
      <c r="K33" s="568"/>
    </row>
    <row r="34" spans="2:12" s="154" customFormat="1" ht="18" hidden="1">
      <c r="B34" s="447"/>
      <c r="C34" s="466" t="s">
        <v>502</v>
      </c>
      <c r="D34" s="467" t="s">
        <v>1312</v>
      </c>
      <c r="E34" s="468">
        <f>'FC-3_1_INF_ADIC_CPyG'!E75</f>
        <v>0</v>
      </c>
      <c r="F34" s="462"/>
      <c r="G34" s="557"/>
      <c r="H34" s="463">
        <f>SUM(E34:G34)</f>
        <v>0</v>
      </c>
      <c r="I34" s="464"/>
      <c r="K34" s="568"/>
    </row>
    <row r="35" spans="2:12" s="437" customFormat="1" ht="18" hidden="1">
      <c r="B35" s="469"/>
      <c r="C35" s="459" t="s">
        <v>443</v>
      </c>
      <c r="D35" s="460" t="s">
        <v>1313</v>
      </c>
      <c r="E35" s="461">
        <f>'FC-3_CPyG'!H69</f>
        <v>23062.9</v>
      </c>
      <c r="F35" s="462"/>
      <c r="G35" s="555"/>
      <c r="H35" s="463">
        <f t="shared" ref="H35:H40" si="2">SUM(E35:G35)</f>
        <v>23062.9</v>
      </c>
      <c r="I35" s="470"/>
      <c r="K35" s="568"/>
    </row>
    <row r="36" spans="2:12" s="437" customFormat="1" ht="18" hidden="1">
      <c r="B36" s="469"/>
      <c r="C36" s="459" t="s">
        <v>443</v>
      </c>
      <c r="D36" s="460" t="s">
        <v>1314</v>
      </c>
      <c r="E36" s="461">
        <f>'FC-3_CPyG'!H72</f>
        <v>0</v>
      </c>
      <c r="F36" s="462"/>
      <c r="G36" s="555"/>
      <c r="H36" s="463">
        <f t="shared" si="2"/>
        <v>0</v>
      </c>
      <c r="I36" s="470"/>
      <c r="K36" s="568"/>
    </row>
    <row r="37" spans="2:12" s="437" customFormat="1" ht="18" hidden="1">
      <c r="B37" s="469"/>
      <c r="C37" s="459" t="s">
        <v>443</v>
      </c>
      <c r="D37" s="460" t="s">
        <v>1315</v>
      </c>
      <c r="E37" s="461">
        <f>'FC-3_CPyG'!H89</f>
        <v>0</v>
      </c>
      <c r="F37" s="462"/>
      <c r="G37" s="555"/>
      <c r="H37" s="463">
        <f t="shared" si="2"/>
        <v>0</v>
      </c>
      <c r="I37" s="470"/>
      <c r="K37" s="568"/>
    </row>
    <row r="38" spans="2:12" s="437" customFormat="1" ht="18" hidden="1">
      <c r="B38" s="469"/>
      <c r="C38" s="459" t="s">
        <v>443</v>
      </c>
      <c r="D38" s="460" t="s">
        <v>1316</v>
      </c>
      <c r="E38" s="461">
        <f>+'FC-3_CPyG'!H90</f>
        <v>0</v>
      </c>
      <c r="F38" s="462"/>
      <c r="G38" s="555"/>
      <c r="H38" s="463">
        <f t="shared" si="2"/>
        <v>0</v>
      </c>
      <c r="I38" s="470"/>
      <c r="K38" s="568"/>
    </row>
    <row r="39" spans="2:12" s="437" customFormat="1" ht="18" hidden="1">
      <c r="B39" s="469"/>
      <c r="C39" s="563"/>
      <c r="D39" s="572"/>
      <c r="E39" s="462"/>
      <c r="F39" s="462"/>
      <c r="G39" s="555"/>
      <c r="H39" s="463">
        <f t="shared" si="2"/>
        <v>0</v>
      </c>
      <c r="I39" s="470"/>
      <c r="K39" s="568"/>
    </row>
    <row r="40" spans="2:12" s="437" customFormat="1" ht="18">
      <c r="B40" s="469"/>
      <c r="C40" s="565"/>
      <c r="D40" s="574"/>
      <c r="E40" s="462"/>
      <c r="F40" s="462"/>
      <c r="G40" s="556"/>
      <c r="H40" s="463">
        <f t="shared" si="2"/>
        <v>0</v>
      </c>
      <c r="I40" s="470"/>
      <c r="K40" s="568"/>
    </row>
    <row r="41" spans="2:12" s="474" customFormat="1" ht="18">
      <c r="B41" s="471"/>
      <c r="C41" s="1482" t="s">
        <v>1274</v>
      </c>
      <c r="D41" s="1483"/>
      <c r="E41" s="472">
        <f>E16+E17+E18+E26+E33</f>
        <v>4655616.2600000007</v>
      </c>
      <c r="F41" s="472">
        <f>F16+F17+F18+F26+F33</f>
        <v>0</v>
      </c>
      <c r="G41" s="472">
        <f>G16+G17+G18+G26+G33</f>
        <v>0</v>
      </c>
      <c r="H41" s="472">
        <f>H16+H17+H18+H26+H33</f>
        <v>4655616.2600000007</v>
      </c>
      <c r="I41" s="473"/>
      <c r="K41" s="568"/>
    </row>
    <row r="42" spans="2:12" s="443" customFormat="1" ht="15.75">
      <c r="B42" s="440"/>
      <c r="C42" s="150"/>
      <c r="D42" s="448"/>
      <c r="E42" s="432"/>
      <c r="F42" s="432"/>
      <c r="G42" s="432"/>
      <c r="H42" s="106"/>
      <c r="I42" s="442"/>
      <c r="K42" s="569"/>
    </row>
    <row r="43" spans="2:12" s="437" customFormat="1" ht="18">
      <c r="B43" s="469"/>
      <c r="C43" s="454" t="s">
        <v>538</v>
      </c>
      <c r="D43" s="176" t="s">
        <v>1275</v>
      </c>
      <c r="E43" s="455">
        <f>SUM(E44:E46)</f>
        <v>0</v>
      </c>
      <c r="F43" s="455">
        <f>SUM(F44:F46)</f>
        <v>0</v>
      </c>
      <c r="G43" s="455">
        <f>SUM(G44:G46)</f>
        <v>0</v>
      </c>
      <c r="H43" s="455">
        <f>SUM(H44:H46)</f>
        <v>0</v>
      </c>
      <c r="I43" s="470"/>
      <c r="K43" s="568"/>
    </row>
    <row r="44" spans="2:12" s="154" customFormat="1" ht="18" hidden="1">
      <c r="B44" s="447"/>
      <c r="C44" s="459" t="s">
        <v>815</v>
      </c>
      <c r="D44" s="475" t="s">
        <v>1317</v>
      </c>
      <c r="E44" s="462"/>
      <c r="F44" s="859">
        <f>-'FC-7_INF'!K31</f>
        <v>0</v>
      </c>
      <c r="G44" s="557"/>
      <c r="H44" s="463">
        <f>SUM(E44:G44)</f>
        <v>0</v>
      </c>
      <c r="I44" s="464"/>
      <c r="K44" s="568"/>
      <c r="L44" s="477" t="s">
        <v>1318</v>
      </c>
    </row>
    <row r="45" spans="2:12" s="154" customFormat="1" ht="18" hidden="1">
      <c r="B45" s="447"/>
      <c r="C45" s="563"/>
      <c r="D45" s="564"/>
      <c r="E45" s="462"/>
      <c r="F45" s="462"/>
      <c r="G45" s="555"/>
      <c r="H45" s="463">
        <f>SUM(E45:G45)</f>
        <v>0</v>
      </c>
      <c r="I45" s="464"/>
      <c r="K45" s="568"/>
      <c r="L45" s="437"/>
    </row>
    <row r="46" spans="2:12" s="154" customFormat="1" ht="18" hidden="1">
      <c r="B46" s="447"/>
      <c r="C46" s="565"/>
      <c r="D46" s="564"/>
      <c r="E46" s="462"/>
      <c r="F46" s="462"/>
      <c r="G46" s="556"/>
      <c r="H46" s="463">
        <f>SUM(E46:G46)</f>
        <v>0</v>
      </c>
      <c r="I46" s="464"/>
      <c r="K46" s="568"/>
      <c r="L46" s="437"/>
    </row>
    <row r="47" spans="2:12" s="437" customFormat="1" ht="18">
      <c r="B47" s="469"/>
      <c r="C47" s="454" t="s">
        <v>540</v>
      </c>
      <c r="D47" s="176" t="s">
        <v>1276</v>
      </c>
      <c r="E47" s="455">
        <f>SUM(E48:E51)</f>
        <v>0</v>
      </c>
      <c r="F47" s="455">
        <f>SUM(F48:F51)</f>
        <v>0</v>
      </c>
      <c r="G47" s="455">
        <f>SUM(G48:G51)</f>
        <v>0</v>
      </c>
      <c r="H47" s="455">
        <f>SUM(H48:H51)</f>
        <v>0</v>
      </c>
      <c r="I47" s="470"/>
      <c r="K47" s="568"/>
    </row>
    <row r="48" spans="2:12" s="481" customFormat="1" ht="18" hidden="1">
      <c r="B48" s="478"/>
      <c r="C48" s="459" t="s">
        <v>910</v>
      </c>
      <c r="D48" s="475" t="s">
        <v>1319</v>
      </c>
      <c r="E48" s="479"/>
      <c r="F48" s="476">
        <f>'FC-9_TRANS_SUBV'!J41</f>
        <v>0</v>
      </c>
      <c r="G48" s="406"/>
      <c r="H48" s="463">
        <f>SUM(E48:G48)</f>
        <v>0</v>
      </c>
      <c r="I48" s="480"/>
      <c r="K48" s="568"/>
    </row>
    <row r="49" spans="2:13" s="437" customFormat="1" ht="18" hidden="1">
      <c r="B49" s="469"/>
      <c r="C49" s="459" t="s">
        <v>1320</v>
      </c>
      <c r="D49" s="475" t="s">
        <v>1321</v>
      </c>
      <c r="E49" s="479"/>
      <c r="F49" s="476">
        <f>'FC-4_1_MOV_FP'!F43</f>
        <v>0</v>
      </c>
      <c r="G49" s="406"/>
      <c r="H49" s="463">
        <f>SUM(E49:G49)</f>
        <v>0</v>
      </c>
      <c r="I49" s="470"/>
      <c r="K49" s="568"/>
    </row>
    <row r="50" spans="2:13" s="437" customFormat="1" ht="18" hidden="1">
      <c r="B50" s="469"/>
      <c r="C50" s="563" t="s">
        <v>958</v>
      </c>
      <c r="D50" s="475" t="s">
        <v>1322</v>
      </c>
      <c r="E50" s="462"/>
      <c r="F50" s="859">
        <f>'FC-9_1_SUBV_REINT'!M65</f>
        <v>0</v>
      </c>
      <c r="G50" s="555"/>
      <c r="H50" s="463">
        <f>SUM(E50:G50)</f>
        <v>0</v>
      </c>
      <c r="I50" s="470"/>
      <c r="K50" s="568"/>
      <c r="L50" s="465"/>
    </row>
    <row r="51" spans="2:13" s="437" customFormat="1" ht="18">
      <c r="B51" s="469"/>
      <c r="C51" s="565"/>
      <c r="D51" s="574"/>
      <c r="E51" s="462"/>
      <c r="F51" s="462"/>
      <c r="G51" s="556"/>
      <c r="H51" s="463">
        <f>SUM(E51:G51)</f>
        <v>0</v>
      </c>
      <c r="I51" s="470"/>
      <c r="K51" s="568"/>
      <c r="L51" s="465"/>
    </row>
    <row r="52" spans="2:13" s="108" customFormat="1" ht="18">
      <c r="B52" s="482"/>
      <c r="C52" s="1474" t="s">
        <v>1277</v>
      </c>
      <c r="D52" s="1475"/>
      <c r="E52" s="450">
        <f>E43+E47</f>
        <v>0</v>
      </c>
      <c r="F52" s="450">
        <f>F43+F47</f>
        <v>0</v>
      </c>
      <c r="G52" s="450">
        <f>G43+G47</f>
        <v>0</v>
      </c>
      <c r="H52" s="450">
        <f>H43+H47</f>
        <v>0</v>
      </c>
      <c r="I52" s="483"/>
      <c r="K52" s="568"/>
    </row>
    <row r="53" spans="2:13" s="443" customFormat="1" ht="15.75">
      <c r="B53" s="440"/>
      <c r="C53" s="150"/>
      <c r="D53" s="448"/>
      <c r="E53" s="432"/>
      <c r="F53" s="432"/>
      <c r="G53" s="432"/>
      <c r="H53" s="106"/>
      <c r="I53" s="442"/>
      <c r="K53" s="569"/>
    </row>
    <row r="54" spans="2:13" s="437" customFormat="1" ht="18">
      <c r="B54" s="469"/>
      <c r="C54" s="484" t="s">
        <v>593</v>
      </c>
      <c r="D54" s="319" t="s">
        <v>1278</v>
      </c>
      <c r="E54" s="485">
        <f>SUM(E55:E60)</f>
        <v>0</v>
      </c>
      <c r="F54" s="485">
        <f>SUM(F55:F60)</f>
        <v>2000000</v>
      </c>
      <c r="G54" s="485">
        <f>SUM(G55:G60)</f>
        <v>0</v>
      </c>
      <c r="H54" s="485">
        <f>SUM(H55:H60)</f>
        <v>2000000</v>
      </c>
      <c r="I54" s="470"/>
      <c r="K54" s="568"/>
    </row>
    <row r="55" spans="2:13" s="154" customFormat="1" ht="18" hidden="1">
      <c r="B55" s="447"/>
      <c r="C55" s="459" t="s">
        <v>847</v>
      </c>
      <c r="D55" s="475" t="s">
        <v>1323</v>
      </c>
      <c r="E55" s="486"/>
      <c r="F55" s="476">
        <f>-'FC-8_INV_FINANCIERAS'!H25</f>
        <v>0</v>
      </c>
      <c r="G55" s="406"/>
      <c r="H55" s="463">
        <f>SUM(E55:G55)</f>
        <v>0</v>
      </c>
      <c r="I55" s="464"/>
      <c r="K55" s="568"/>
      <c r="L55" s="477" t="s">
        <v>1318</v>
      </c>
      <c r="M55" s="481"/>
    </row>
    <row r="56" spans="2:13" s="481" customFormat="1" ht="18" hidden="1">
      <c r="B56" s="478"/>
      <c r="C56" s="459" t="s">
        <v>847</v>
      </c>
      <c r="D56" s="475" t="s">
        <v>1324</v>
      </c>
      <c r="E56" s="479"/>
      <c r="F56" s="476">
        <f>-'FC-8_INV_FINANCIERAS'!H34</f>
        <v>2000000</v>
      </c>
      <c r="G56" s="558"/>
      <c r="H56" s="463">
        <f t="shared" ref="H56:H71" si="3">SUM(E56:G56)</f>
        <v>2000000</v>
      </c>
      <c r="I56" s="480"/>
      <c r="K56" s="568"/>
      <c r="L56" s="477" t="s">
        <v>1318</v>
      </c>
    </row>
    <row r="57" spans="2:13" s="481" customFormat="1" ht="18" hidden="1">
      <c r="B57" s="478"/>
      <c r="C57" s="459" t="s">
        <v>847</v>
      </c>
      <c r="D57" s="475" t="s">
        <v>1325</v>
      </c>
      <c r="E57" s="479"/>
      <c r="F57" s="476">
        <f>-'FC-8_INV_FINANCIERAS'!H49</f>
        <v>0</v>
      </c>
      <c r="G57" s="407"/>
      <c r="H57" s="463">
        <f t="shared" si="3"/>
        <v>0</v>
      </c>
      <c r="I57" s="480"/>
      <c r="K57" s="568"/>
      <c r="L57" s="477" t="s">
        <v>1318</v>
      </c>
    </row>
    <row r="58" spans="2:13" s="481" customFormat="1" ht="18" hidden="1">
      <c r="B58" s="478"/>
      <c r="C58" s="459" t="s">
        <v>847</v>
      </c>
      <c r="D58" s="475" t="s">
        <v>1326</v>
      </c>
      <c r="E58" s="479"/>
      <c r="F58" s="476">
        <f>-'FC-8_INV_FINANCIERAS'!H58</f>
        <v>0</v>
      </c>
      <c r="G58" s="407"/>
      <c r="H58" s="463">
        <f t="shared" si="3"/>
        <v>0</v>
      </c>
      <c r="I58" s="480"/>
      <c r="K58" s="568"/>
      <c r="L58" s="477" t="s">
        <v>1318</v>
      </c>
    </row>
    <row r="59" spans="2:13" s="481" customFormat="1" ht="18" hidden="1">
      <c r="B59" s="478"/>
      <c r="C59" s="563"/>
      <c r="D59" s="572"/>
      <c r="E59" s="462"/>
      <c r="F59" s="462"/>
      <c r="G59" s="555"/>
      <c r="H59" s="463">
        <f t="shared" si="3"/>
        <v>0</v>
      </c>
      <c r="I59" s="480"/>
      <c r="K59" s="568"/>
      <c r="L59" s="488"/>
    </row>
    <row r="60" spans="2:13" s="481" customFormat="1" ht="18" hidden="1">
      <c r="B60" s="478"/>
      <c r="C60" s="565"/>
      <c r="D60" s="574"/>
      <c r="E60" s="462"/>
      <c r="F60" s="462"/>
      <c r="G60" s="556"/>
      <c r="H60" s="463">
        <f>SUM(E60:G60)</f>
        <v>0</v>
      </c>
      <c r="I60" s="480"/>
      <c r="K60" s="568"/>
      <c r="L60" s="488"/>
    </row>
    <row r="61" spans="2:13" s="437" customFormat="1" ht="18">
      <c r="B61" s="469"/>
      <c r="C61" s="489" t="s">
        <v>595</v>
      </c>
      <c r="D61" s="490" t="s">
        <v>1279</v>
      </c>
      <c r="E61" s="491">
        <f>SUM(E62:E73)</f>
        <v>0</v>
      </c>
      <c r="F61" s="491">
        <f>SUM(F62:F73)</f>
        <v>1515042.66</v>
      </c>
      <c r="G61" s="491">
        <f>SUM(G62:G73)</f>
        <v>0</v>
      </c>
      <c r="H61" s="491">
        <f>SUM(H62:H73)</f>
        <v>1515042.66</v>
      </c>
      <c r="I61" s="470"/>
      <c r="K61" s="568"/>
    </row>
    <row r="62" spans="2:13" s="481" customFormat="1" ht="18" hidden="1">
      <c r="B62" s="478"/>
      <c r="C62" s="459" t="s">
        <v>958</v>
      </c>
      <c r="D62" s="475" t="s">
        <v>1327</v>
      </c>
      <c r="E62" s="479"/>
      <c r="F62" s="476">
        <f>'FC-10_DEUDAS'!M51</f>
        <v>1500000</v>
      </c>
      <c r="G62" s="559"/>
      <c r="H62" s="463">
        <f t="shared" si="3"/>
        <v>1500000</v>
      </c>
      <c r="I62" s="480"/>
      <c r="K62" s="568"/>
    </row>
    <row r="63" spans="2:13" s="481" customFormat="1" ht="18" hidden="1">
      <c r="B63" s="478"/>
      <c r="C63" s="459"/>
      <c r="D63" s="475" t="s">
        <v>1328</v>
      </c>
      <c r="E63" s="479"/>
      <c r="F63" s="860"/>
      <c r="G63" s="559"/>
      <c r="H63" s="463">
        <f t="shared" si="3"/>
        <v>0</v>
      </c>
      <c r="I63" s="480"/>
      <c r="K63" s="568"/>
      <c r="L63" s="465" t="s">
        <v>1329</v>
      </c>
    </row>
    <row r="64" spans="2:13" s="481" customFormat="1" ht="18" hidden="1">
      <c r="B64" s="478"/>
      <c r="C64" s="459" t="s">
        <v>958</v>
      </c>
      <c r="D64" s="475" t="s">
        <v>1330</v>
      </c>
      <c r="E64" s="479"/>
      <c r="F64" s="860">
        <f>'FC-10_DEUDAS'!M28</f>
        <v>0</v>
      </c>
      <c r="G64" s="559"/>
      <c r="H64" s="463"/>
      <c r="I64" s="480"/>
      <c r="K64" s="568"/>
      <c r="L64" s="465"/>
    </row>
    <row r="65" spans="2:12" s="481" customFormat="1" ht="18" hidden="1">
      <c r="B65" s="478"/>
      <c r="C65" s="459"/>
      <c r="D65" s="475" t="s">
        <v>1330</v>
      </c>
      <c r="E65" s="479"/>
      <c r="F65" s="861"/>
      <c r="G65" s="407"/>
      <c r="H65" s="463">
        <f t="shared" si="3"/>
        <v>0</v>
      </c>
      <c r="I65" s="480"/>
      <c r="K65" s="568"/>
      <c r="L65" s="465" t="s">
        <v>1329</v>
      </c>
    </row>
    <row r="66" spans="2:12" s="481" customFormat="1" ht="18" hidden="1">
      <c r="B66" s="478"/>
      <c r="C66" s="459" t="s">
        <v>958</v>
      </c>
      <c r="D66" s="475" t="s">
        <v>1331</v>
      </c>
      <c r="E66" s="479"/>
      <c r="F66" s="859">
        <f>'FC-10_DEUDAS'!M73</f>
        <v>15042.66</v>
      </c>
      <c r="G66" s="559"/>
      <c r="H66" s="463">
        <f t="shared" si="3"/>
        <v>15042.66</v>
      </c>
      <c r="I66" s="480"/>
      <c r="K66" s="568"/>
    </row>
    <row r="67" spans="2:12" s="481" customFormat="1" ht="18" hidden="1">
      <c r="B67" s="478"/>
      <c r="C67" s="459" t="s">
        <v>958</v>
      </c>
      <c r="D67" s="475" t="s">
        <v>1332</v>
      </c>
      <c r="E67" s="479"/>
      <c r="F67" s="859">
        <f>'FC-9_1_SUBV_REINT'!K59</f>
        <v>0</v>
      </c>
      <c r="G67" s="559"/>
      <c r="H67" s="463">
        <f t="shared" si="3"/>
        <v>0</v>
      </c>
      <c r="I67" s="480"/>
      <c r="K67" s="568"/>
    </row>
    <row r="68" spans="2:12" s="481" customFormat="1" ht="18" hidden="1">
      <c r="B68" s="478"/>
      <c r="C68" s="459" t="s">
        <v>958</v>
      </c>
      <c r="D68" s="475" t="s">
        <v>1333</v>
      </c>
      <c r="E68" s="479"/>
      <c r="F68" s="859">
        <f>'FC-9_1_SUBV_REINT'!M61</f>
        <v>0</v>
      </c>
      <c r="G68" s="559"/>
      <c r="H68" s="463">
        <f t="shared" si="3"/>
        <v>0</v>
      </c>
      <c r="I68" s="480"/>
      <c r="K68" s="568"/>
    </row>
    <row r="69" spans="2:12" s="481" customFormat="1" ht="18" hidden="1">
      <c r="B69" s="478"/>
      <c r="C69" s="459" t="s">
        <v>958</v>
      </c>
      <c r="D69" s="475" t="s">
        <v>1334</v>
      </c>
      <c r="E69" s="479"/>
      <c r="F69" s="859">
        <f>'FC-9_1_SUBV_REINT'!M64</f>
        <v>0</v>
      </c>
      <c r="G69" s="559"/>
      <c r="H69" s="463">
        <f t="shared" si="3"/>
        <v>0</v>
      </c>
      <c r="I69" s="480"/>
      <c r="K69" s="568"/>
    </row>
    <row r="70" spans="2:12" s="481" customFormat="1" ht="18" hidden="1">
      <c r="B70" s="478"/>
      <c r="C70" s="459" t="s">
        <v>958</v>
      </c>
      <c r="D70" s="475" t="s">
        <v>1335</v>
      </c>
      <c r="E70" s="479"/>
      <c r="F70" s="859">
        <f>'FC-10_DEUDAS'!M95</f>
        <v>0</v>
      </c>
      <c r="G70" s="407"/>
      <c r="H70" s="463">
        <f t="shared" si="3"/>
        <v>0</v>
      </c>
      <c r="I70" s="480"/>
      <c r="K70" s="568"/>
    </row>
    <row r="71" spans="2:12" s="481" customFormat="1" ht="18" hidden="1">
      <c r="B71" s="478"/>
      <c r="C71" s="459"/>
      <c r="D71" s="475" t="s">
        <v>1336</v>
      </c>
      <c r="E71" s="479"/>
      <c r="F71" s="861"/>
      <c r="G71" s="407"/>
      <c r="H71" s="463">
        <f t="shared" si="3"/>
        <v>0</v>
      </c>
      <c r="I71" s="480"/>
      <c r="K71" s="568"/>
      <c r="L71" s="465" t="s">
        <v>1329</v>
      </c>
    </row>
    <row r="72" spans="2:12" s="481" customFormat="1" ht="18" hidden="1">
      <c r="B72" s="478"/>
      <c r="C72" s="563"/>
      <c r="D72" s="572"/>
      <c r="E72" s="462"/>
      <c r="F72" s="462"/>
      <c r="G72" s="555"/>
      <c r="H72" s="463">
        <f>SUM(E72:G72)</f>
        <v>0</v>
      </c>
      <c r="I72" s="480"/>
      <c r="K72" s="568"/>
      <c r="L72" s="465"/>
    </row>
    <row r="73" spans="2:12" s="481" customFormat="1" ht="18">
      <c r="B73" s="478"/>
      <c r="C73" s="565"/>
      <c r="D73" s="574"/>
      <c r="E73" s="462"/>
      <c r="F73" s="462"/>
      <c r="G73" s="556"/>
      <c r="H73" s="463">
        <f>SUM(E73:G73)</f>
        <v>0</v>
      </c>
      <c r="I73" s="480"/>
      <c r="K73" s="568"/>
      <c r="L73" s="465"/>
    </row>
    <row r="74" spans="2:12" s="493" customFormat="1" ht="18">
      <c r="B74" s="444"/>
      <c r="C74" s="1474" t="s">
        <v>1280</v>
      </c>
      <c r="D74" s="1475"/>
      <c r="E74" s="450">
        <f>E54+E61</f>
        <v>0</v>
      </c>
      <c r="F74" s="450">
        <f>F54+F61</f>
        <v>3515042.66</v>
      </c>
      <c r="G74" s="450">
        <f>G54+G61</f>
        <v>0</v>
      </c>
      <c r="H74" s="450">
        <f>H54+H61</f>
        <v>3515042.66</v>
      </c>
      <c r="I74" s="446"/>
      <c r="K74" s="568"/>
    </row>
    <row r="75" spans="2:12" s="443" customFormat="1" ht="15">
      <c r="B75" s="440"/>
      <c r="C75" s="448"/>
      <c r="D75" s="431"/>
      <c r="E75" s="432"/>
      <c r="F75" s="432"/>
      <c r="G75" s="432"/>
      <c r="H75" s="494"/>
      <c r="I75" s="442"/>
      <c r="K75" s="569"/>
    </row>
    <row r="76" spans="2:12" s="498" customFormat="1" ht="21" thickBot="1">
      <c r="B76" s="495"/>
      <c r="C76" s="1476" t="s">
        <v>1337</v>
      </c>
      <c r="D76" s="1477"/>
      <c r="E76" s="496">
        <f>E74+E52+E41</f>
        <v>4655616.2600000007</v>
      </c>
      <c r="F76" s="496">
        <f>F74+F52+F41</f>
        <v>3515042.66</v>
      </c>
      <c r="G76" s="496">
        <f>G74+G52+G41</f>
        <v>0</v>
      </c>
      <c r="H76" s="496">
        <f>H74+H52+H41</f>
        <v>8170658.9200000009</v>
      </c>
      <c r="I76" s="497"/>
      <c r="K76" s="568"/>
    </row>
    <row r="77" spans="2:12" s="443" customFormat="1" ht="15.75">
      <c r="B77" s="440"/>
      <c r="C77" s="150"/>
      <c r="D77" s="448"/>
      <c r="E77" s="432"/>
      <c r="F77" s="432"/>
      <c r="G77" s="432"/>
      <c r="H77" s="106"/>
      <c r="I77" s="442"/>
      <c r="K77" s="569"/>
    </row>
    <row r="78" spans="2:12" s="443" customFormat="1" ht="18">
      <c r="B78" s="440"/>
      <c r="C78" s="1478" t="s">
        <v>1282</v>
      </c>
      <c r="D78" s="1479"/>
      <c r="E78" s="499">
        <f>SUM(E79:E87)</f>
        <v>19790.64</v>
      </c>
      <c r="F78" s="499">
        <f>SUM(F79:F87)</f>
        <v>0</v>
      </c>
      <c r="G78" s="499">
        <f>SUM(G79:G87)</f>
        <v>0</v>
      </c>
      <c r="H78" s="499">
        <f>SUM(H79:H87)</f>
        <v>19790.64</v>
      </c>
      <c r="I78" s="442"/>
      <c r="K78" s="568"/>
    </row>
    <row r="79" spans="2:12" s="437" customFormat="1" ht="18" hidden="1">
      <c r="B79" s="469"/>
      <c r="C79" s="459" t="s">
        <v>443</v>
      </c>
      <c r="D79" s="460" t="s">
        <v>1338</v>
      </c>
      <c r="E79" s="461">
        <f>IF('FC-3_CPyG'!H20&gt;0,'FC-3_CPyG'!H20,0)</f>
        <v>0</v>
      </c>
      <c r="F79" s="462"/>
      <c r="G79" s="462"/>
      <c r="H79" s="463">
        <f t="shared" ref="H79:H87" si="4">F79+E79</f>
        <v>0</v>
      </c>
      <c r="I79" s="470"/>
      <c r="K79" s="568"/>
      <c r="L79" s="465" t="s">
        <v>1339</v>
      </c>
    </row>
    <row r="80" spans="2:12" s="437" customFormat="1" ht="18" hidden="1">
      <c r="B80" s="469"/>
      <c r="C80" s="459" t="s">
        <v>443</v>
      </c>
      <c r="D80" s="460" t="s">
        <v>1340</v>
      </c>
      <c r="E80" s="461">
        <f>'FC-3_CPyG'!H21</f>
        <v>0</v>
      </c>
      <c r="F80" s="462"/>
      <c r="G80" s="462"/>
      <c r="H80" s="463">
        <f t="shared" si="4"/>
        <v>0</v>
      </c>
      <c r="I80" s="470"/>
      <c r="K80" s="568"/>
      <c r="L80" s="465" t="s">
        <v>1341</v>
      </c>
    </row>
    <row r="81" spans="2:11" s="437" customFormat="1" ht="18" hidden="1">
      <c r="B81" s="469"/>
      <c r="C81" s="459" t="s">
        <v>443</v>
      </c>
      <c r="D81" s="460" t="s">
        <v>1342</v>
      </c>
      <c r="E81" s="461">
        <f>'FC-3_CPyG'!H46</f>
        <v>19790.64</v>
      </c>
      <c r="F81" s="462"/>
      <c r="G81" s="462"/>
      <c r="H81" s="463">
        <f t="shared" si="4"/>
        <v>19790.64</v>
      </c>
      <c r="I81" s="470"/>
      <c r="K81" s="568"/>
    </row>
    <row r="82" spans="2:11" s="437" customFormat="1" ht="18" hidden="1">
      <c r="B82" s="469"/>
      <c r="C82" s="459" t="s">
        <v>443</v>
      </c>
      <c r="D82" s="460" t="s">
        <v>1343</v>
      </c>
      <c r="E82" s="461">
        <f>'FC-3_CPyG'!H47</f>
        <v>0</v>
      </c>
      <c r="F82" s="462"/>
      <c r="G82" s="462"/>
      <c r="H82" s="463">
        <f t="shared" si="4"/>
        <v>0</v>
      </c>
      <c r="I82" s="470"/>
      <c r="K82" s="568"/>
    </row>
    <row r="83" spans="2:11" s="437" customFormat="1" ht="18" hidden="1">
      <c r="B83" s="469"/>
      <c r="C83" s="459" t="s">
        <v>443</v>
      </c>
      <c r="D83" s="460" t="s">
        <v>1344</v>
      </c>
      <c r="E83" s="461">
        <f>IF('FC-3_CPyG'!H53&gt;0,'FC-3_CPyG'!H53,0)</f>
        <v>0</v>
      </c>
      <c r="F83" s="462"/>
      <c r="G83" s="462"/>
      <c r="H83" s="463">
        <f t="shared" si="4"/>
        <v>0</v>
      </c>
      <c r="I83" s="470"/>
      <c r="K83" s="568"/>
    </row>
    <row r="84" spans="2:11" s="437" customFormat="1" ht="18" hidden="1">
      <c r="B84" s="469"/>
      <c r="C84" s="459" t="s">
        <v>443</v>
      </c>
      <c r="D84" s="460" t="s">
        <v>1345</v>
      </c>
      <c r="E84" s="461">
        <f>IF('FC-3_CPyG'!H57&gt;0,'FC-3_CPyG'!H57,0)</f>
        <v>0</v>
      </c>
      <c r="F84" s="462"/>
      <c r="G84" s="462"/>
      <c r="H84" s="463">
        <f t="shared" si="4"/>
        <v>0</v>
      </c>
      <c r="I84" s="470"/>
      <c r="K84" s="568"/>
    </row>
    <row r="85" spans="2:11" s="437" customFormat="1" ht="18" hidden="1">
      <c r="B85" s="469"/>
      <c r="C85" s="459" t="s">
        <v>502</v>
      </c>
      <c r="D85" s="460" t="s">
        <v>1346</v>
      </c>
      <c r="E85" s="461">
        <f>'FC-3_1_INF_ADIC_CPyG'!E52</f>
        <v>0</v>
      </c>
      <c r="F85" s="462"/>
      <c r="G85" s="462"/>
      <c r="H85" s="463">
        <f t="shared" si="4"/>
        <v>0</v>
      </c>
      <c r="I85" s="470"/>
      <c r="K85" s="568"/>
    </row>
    <row r="86" spans="2:11" s="437" customFormat="1" ht="18" hidden="1">
      <c r="B86" s="469"/>
      <c r="C86" s="459" t="s">
        <v>443</v>
      </c>
      <c r="D86" s="460" t="s">
        <v>1347</v>
      </c>
      <c r="E86" s="461">
        <f>'FC-3_CPyG'!H75</f>
        <v>0</v>
      </c>
      <c r="F86" s="462"/>
      <c r="G86" s="462"/>
      <c r="H86" s="463">
        <f t="shared" si="4"/>
        <v>0</v>
      </c>
      <c r="I86" s="470"/>
      <c r="K86" s="568"/>
    </row>
    <row r="87" spans="2:11" s="437" customFormat="1" ht="18" hidden="1">
      <c r="B87" s="469"/>
      <c r="C87" s="459" t="s">
        <v>443</v>
      </c>
      <c r="D87" s="460" t="s">
        <v>1348</v>
      </c>
      <c r="E87" s="461">
        <f>'FC-3_CPyG'!H80</f>
        <v>0</v>
      </c>
      <c r="F87" s="462"/>
      <c r="G87" s="462"/>
      <c r="H87" s="463">
        <f t="shared" si="4"/>
        <v>0</v>
      </c>
      <c r="I87" s="470"/>
      <c r="K87" s="568"/>
    </row>
    <row r="88" spans="2:11" s="437" customFormat="1" ht="15.75">
      <c r="B88" s="469"/>
      <c r="C88" s="500"/>
      <c r="D88" s="500"/>
      <c r="E88" s="500"/>
      <c r="F88" s="500"/>
      <c r="G88" s="500"/>
      <c r="H88" s="500"/>
      <c r="I88" s="470"/>
      <c r="K88" s="570"/>
    </row>
    <row r="89" spans="2:11" s="431" customFormat="1" ht="18.75" thickBot="1">
      <c r="B89" s="501"/>
      <c r="C89" s="1472" t="s">
        <v>1349</v>
      </c>
      <c r="D89" s="1473"/>
      <c r="E89" s="502">
        <f>E76+E78</f>
        <v>4675406.9000000004</v>
      </c>
      <c r="F89" s="502">
        <f>F76+F78</f>
        <v>3515042.66</v>
      </c>
      <c r="G89" s="502">
        <f>G76+G78</f>
        <v>0</v>
      </c>
      <c r="H89" s="502">
        <f>H76+H78</f>
        <v>8190449.5600000005</v>
      </c>
      <c r="I89" s="503"/>
      <c r="J89" s="504"/>
      <c r="K89" s="568"/>
    </row>
    <row r="90" spans="2:11" s="443" customFormat="1" ht="18">
      <c r="B90" s="440"/>
      <c r="C90" s="505"/>
      <c r="D90" s="505"/>
      <c r="E90" s="506"/>
      <c r="F90" s="506"/>
      <c r="G90" s="506"/>
      <c r="H90" s="198"/>
      <c r="I90" s="442"/>
      <c r="K90" s="569"/>
    </row>
    <row r="91" spans="2:11" s="443" customFormat="1" ht="18">
      <c r="B91" s="440"/>
      <c r="C91" s="505"/>
      <c r="D91" s="505"/>
      <c r="E91" s="506"/>
      <c r="F91" s="506"/>
      <c r="G91" s="506"/>
      <c r="H91" s="198"/>
      <c r="I91" s="442"/>
      <c r="K91" s="569"/>
    </row>
    <row r="92" spans="2:11" s="452" customFormat="1" ht="23.25">
      <c r="B92" s="449"/>
      <c r="C92" s="1480" t="s">
        <v>1283</v>
      </c>
      <c r="D92" s="1481"/>
      <c r="E92" s="507"/>
      <c r="F92" s="507"/>
      <c r="G92" s="507"/>
      <c r="H92" s="508" t="s">
        <v>966</v>
      </c>
      <c r="I92" s="451"/>
      <c r="K92" s="568"/>
    </row>
    <row r="93" spans="2:11" ht="18">
      <c r="B93" s="447"/>
      <c r="C93" s="61"/>
      <c r="D93" s="448"/>
      <c r="E93" s="432"/>
      <c r="F93" s="432"/>
      <c r="G93" s="432"/>
      <c r="H93" s="64"/>
      <c r="I93" s="438"/>
      <c r="K93" s="571"/>
    </row>
    <row r="94" spans="2:11" s="458" customFormat="1" ht="18">
      <c r="B94" s="453"/>
      <c r="C94" s="454" t="s">
        <v>507</v>
      </c>
      <c r="D94" s="176" t="s">
        <v>1284</v>
      </c>
      <c r="E94" s="455">
        <f>SUM(E95:E98)</f>
        <v>678188.41999999993</v>
      </c>
      <c r="F94" s="455">
        <f>SUM(F95:F98)</f>
        <v>0</v>
      </c>
      <c r="G94" s="455">
        <f>SUM(G95:G98)</f>
        <v>0</v>
      </c>
      <c r="H94" s="455">
        <f>SUM(H95:H98)</f>
        <v>678188.41999999993</v>
      </c>
      <c r="I94" s="457"/>
      <c r="K94" s="568"/>
    </row>
    <row r="95" spans="2:11" s="443" customFormat="1" ht="18" hidden="1">
      <c r="B95" s="440"/>
      <c r="C95" s="459" t="s">
        <v>443</v>
      </c>
      <c r="D95" s="460" t="s">
        <v>1350</v>
      </c>
      <c r="E95" s="461">
        <f>-'FC-3_CPyG'!H30</f>
        <v>710015.65999999992</v>
      </c>
      <c r="F95" s="462"/>
      <c r="G95" s="462"/>
      <c r="H95" s="463">
        <f>F95+E95</f>
        <v>710015.65999999992</v>
      </c>
      <c r="I95" s="442"/>
      <c r="K95" s="568"/>
    </row>
    <row r="96" spans="2:11" s="443" customFormat="1" ht="18" hidden="1">
      <c r="B96" s="440"/>
      <c r="C96" s="459" t="s">
        <v>443</v>
      </c>
      <c r="D96" s="460" t="s">
        <v>1351</v>
      </c>
      <c r="E96" s="461">
        <f>'FC-3_CPyG'!H35</f>
        <v>0</v>
      </c>
      <c r="F96" s="462"/>
      <c r="G96" s="462"/>
      <c r="H96" s="463">
        <f>F96+E96</f>
        <v>0</v>
      </c>
      <c r="I96" s="442"/>
      <c r="K96" s="568"/>
    </row>
    <row r="97" spans="2:12" s="443" customFormat="1" ht="18" hidden="1">
      <c r="B97" s="440"/>
      <c r="C97" s="459" t="s">
        <v>443</v>
      </c>
      <c r="D97" s="572" t="s">
        <v>1352</v>
      </c>
      <c r="E97" s="461">
        <f>'FC-3_CPyG'!H33</f>
        <v>-31827.24</v>
      </c>
      <c r="F97" s="462"/>
      <c r="G97" s="555"/>
      <c r="H97" s="463">
        <f>SUM(E97:G97)</f>
        <v>-31827.24</v>
      </c>
      <c r="I97" s="442"/>
      <c r="K97" s="568"/>
    </row>
    <row r="98" spans="2:12" s="443" customFormat="1" ht="18" hidden="1">
      <c r="B98" s="440"/>
      <c r="C98" s="565"/>
      <c r="D98" s="573"/>
      <c r="E98" s="462"/>
      <c r="F98" s="462"/>
      <c r="G98" s="556"/>
      <c r="H98" s="463">
        <f>SUM(E98:G98)</f>
        <v>0</v>
      </c>
      <c r="I98" s="442"/>
      <c r="K98" s="568"/>
    </row>
    <row r="99" spans="2:12" s="458" customFormat="1" ht="18">
      <c r="B99" s="453"/>
      <c r="C99" s="509" t="s">
        <v>518</v>
      </c>
      <c r="D99" s="510" t="s">
        <v>1285</v>
      </c>
      <c r="E99" s="511">
        <f>SUM(E100:E111)</f>
        <v>1673143.67</v>
      </c>
      <c r="F99" s="511">
        <f>SUM(F100:F111)</f>
        <v>0</v>
      </c>
      <c r="G99" s="511">
        <f>SUM(G100:G111)</f>
        <v>0</v>
      </c>
      <c r="H99" s="511">
        <f>SUM(H100:H111)</f>
        <v>1673143.67</v>
      </c>
      <c r="I99" s="457"/>
      <c r="K99" s="568"/>
    </row>
    <row r="100" spans="2:12" s="443" customFormat="1" ht="18" hidden="1">
      <c r="B100" s="440"/>
      <c r="C100" s="459" t="s">
        <v>1353</v>
      </c>
      <c r="D100" s="460" t="s">
        <v>1354</v>
      </c>
      <c r="E100" s="461">
        <f>-'FC-3_CPyG'!H22</f>
        <v>3927.7</v>
      </c>
      <c r="F100" s="462"/>
      <c r="G100" s="462"/>
      <c r="H100" s="463">
        <f>SUM(E100:G100)</f>
        <v>3927.7</v>
      </c>
      <c r="I100" s="442"/>
      <c r="K100" s="568"/>
      <c r="L100" s="465" t="s">
        <v>1355</v>
      </c>
    </row>
    <row r="101" spans="2:12" s="443" customFormat="1" ht="18" hidden="1">
      <c r="B101" s="440"/>
      <c r="C101" s="459" t="s">
        <v>443</v>
      </c>
      <c r="D101" s="460" t="s">
        <v>1356</v>
      </c>
      <c r="E101" s="461">
        <f>-'FC-3_CPyG'!H26</f>
        <v>0</v>
      </c>
      <c r="F101" s="462"/>
      <c r="G101" s="462"/>
      <c r="H101" s="463">
        <f t="shared" ref="H101:H116" si="5">SUM(E101:G101)</f>
        <v>0</v>
      </c>
      <c r="I101" s="442"/>
      <c r="K101" s="568"/>
    </row>
    <row r="102" spans="2:12" s="443" customFormat="1" ht="18" hidden="1">
      <c r="B102" s="440"/>
      <c r="C102" s="459" t="s">
        <v>443</v>
      </c>
      <c r="D102" s="460" t="s">
        <v>1357</v>
      </c>
      <c r="E102" s="461">
        <f>-'FC-3_CPyG'!H37</f>
        <v>1418575.74</v>
      </c>
      <c r="F102" s="462"/>
      <c r="G102" s="462"/>
      <c r="H102" s="463">
        <f t="shared" si="5"/>
        <v>1418575.74</v>
      </c>
      <c r="I102" s="442"/>
      <c r="K102" s="568"/>
    </row>
    <row r="103" spans="2:12" s="443" customFormat="1" ht="18" hidden="1">
      <c r="B103" s="440"/>
      <c r="C103" s="459" t="s">
        <v>443</v>
      </c>
      <c r="D103" s="460" t="s">
        <v>1358</v>
      </c>
      <c r="E103" s="461">
        <f>-'FC-3_CPyG'!H38</f>
        <v>218812.99</v>
      </c>
      <c r="F103" s="462"/>
      <c r="G103" s="462"/>
      <c r="H103" s="463">
        <f t="shared" si="5"/>
        <v>218812.99</v>
      </c>
      <c r="I103" s="442"/>
      <c r="K103" s="568"/>
    </row>
    <row r="104" spans="2:12" s="443" customFormat="1" ht="18" hidden="1">
      <c r="B104" s="440"/>
      <c r="C104" s="459" t="s">
        <v>443</v>
      </c>
      <c r="D104" s="460" t="s">
        <v>1359</v>
      </c>
      <c r="E104" s="461">
        <f>-'FC-3_CPyG'!H40</f>
        <v>0</v>
      </c>
      <c r="F104" s="462"/>
      <c r="G104" s="462"/>
      <c r="H104" s="463">
        <f t="shared" si="5"/>
        <v>0</v>
      </c>
      <c r="I104" s="442"/>
      <c r="K104" s="568"/>
    </row>
    <row r="105" spans="2:12" s="443" customFormat="1" ht="18" hidden="1">
      <c r="B105" s="440"/>
      <c r="C105" s="459" t="s">
        <v>443</v>
      </c>
      <c r="D105" s="460" t="s">
        <v>1360</v>
      </c>
      <c r="E105" s="461">
        <f>-'FC-3_CPyG'!H41</f>
        <v>0</v>
      </c>
      <c r="F105" s="462"/>
      <c r="G105" s="462"/>
      <c r="H105" s="463">
        <f t="shared" si="5"/>
        <v>0</v>
      </c>
      <c r="I105" s="442"/>
      <c r="K105" s="568"/>
      <c r="L105" s="512"/>
    </row>
    <row r="106" spans="2:12" s="443" customFormat="1" ht="18" hidden="1">
      <c r="B106" s="440"/>
      <c r="C106" s="459" t="s">
        <v>443</v>
      </c>
      <c r="D106" s="460" t="s">
        <v>1361</v>
      </c>
      <c r="E106" s="461">
        <f>-'FC-3_CPyG'!H94</f>
        <v>0</v>
      </c>
      <c r="F106" s="462"/>
      <c r="G106" s="462"/>
      <c r="H106" s="463">
        <f t="shared" si="5"/>
        <v>0</v>
      </c>
      <c r="I106" s="442"/>
      <c r="K106" s="568"/>
    </row>
    <row r="107" spans="2:12" s="443" customFormat="1" ht="18" hidden="1">
      <c r="B107" s="440"/>
      <c r="C107" s="459" t="s">
        <v>502</v>
      </c>
      <c r="D107" s="460" t="s">
        <v>1362</v>
      </c>
      <c r="E107" s="461">
        <f>-'FC-3_1_INF_ADIC_CPyG'!E57</f>
        <v>0</v>
      </c>
      <c r="F107" s="462"/>
      <c r="G107" s="462"/>
      <c r="H107" s="463">
        <f t="shared" si="5"/>
        <v>0</v>
      </c>
      <c r="I107" s="442"/>
      <c r="K107" s="568"/>
    </row>
    <row r="108" spans="2:12" s="443" customFormat="1" ht="18" hidden="1">
      <c r="B108" s="440"/>
      <c r="C108" s="459" t="s">
        <v>502</v>
      </c>
      <c r="D108" s="460" t="s">
        <v>1363</v>
      </c>
      <c r="E108" s="461">
        <f>-'FC-3_1_INF_ADIC_CPyG'!E89</f>
        <v>0</v>
      </c>
      <c r="F108" s="462"/>
      <c r="G108" s="462"/>
      <c r="H108" s="463">
        <f t="shared" si="5"/>
        <v>0</v>
      </c>
      <c r="I108" s="442"/>
      <c r="K108" s="568"/>
    </row>
    <row r="109" spans="2:12" s="518" customFormat="1" ht="18" hidden="1">
      <c r="B109" s="513"/>
      <c r="C109" s="514"/>
      <c r="D109" s="515" t="s">
        <v>1364</v>
      </c>
      <c r="E109" s="516"/>
      <c r="F109" s="558"/>
      <c r="G109" s="558"/>
      <c r="H109" s="463">
        <f t="shared" si="5"/>
        <v>0</v>
      </c>
      <c r="I109" s="517"/>
      <c r="K109" s="568"/>
      <c r="L109" s="465" t="s">
        <v>1329</v>
      </c>
    </row>
    <row r="110" spans="2:12" s="443" customFormat="1" ht="18" hidden="1">
      <c r="B110" s="440"/>
      <c r="C110" s="459" t="s">
        <v>443</v>
      </c>
      <c r="D110" s="572" t="s">
        <v>1352</v>
      </c>
      <c r="E110" s="461">
        <f>-'FC-3_CPyG'!H33</f>
        <v>31827.24</v>
      </c>
      <c r="F110" s="462"/>
      <c r="G110" s="555"/>
      <c r="H110" s="463">
        <f t="shared" si="5"/>
        <v>31827.24</v>
      </c>
      <c r="I110" s="442"/>
      <c r="K110" s="568"/>
    </row>
    <row r="111" spans="2:12" s="443" customFormat="1" ht="18" hidden="1">
      <c r="B111" s="440"/>
      <c r="C111" s="565"/>
      <c r="D111" s="573"/>
      <c r="E111" s="462"/>
      <c r="F111" s="462"/>
      <c r="G111" s="556"/>
      <c r="H111" s="463">
        <f t="shared" si="5"/>
        <v>0</v>
      </c>
      <c r="I111" s="442"/>
      <c r="K111" s="568"/>
    </row>
    <row r="112" spans="2:12" s="458" customFormat="1" ht="18">
      <c r="B112" s="453"/>
      <c r="C112" s="509" t="s">
        <v>523</v>
      </c>
      <c r="D112" s="510" t="s">
        <v>1286</v>
      </c>
      <c r="E112" s="511">
        <f>SUM(E113:E117)</f>
        <v>0</v>
      </c>
      <c r="F112" s="511">
        <f>SUM(F113:F117)</f>
        <v>0</v>
      </c>
      <c r="G112" s="511">
        <f>SUM(G113:G117)</f>
        <v>0</v>
      </c>
      <c r="H112" s="511">
        <f>SUM(H113:H117)</f>
        <v>0</v>
      </c>
      <c r="I112" s="457"/>
      <c r="K112" s="568"/>
    </row>
    <row r="113" spans="2:11" s="443" customFormat="1" ht="18" hidden="1">
      <c r="B113" s="440"/>
      <c r="C113" s="459" t="s">
        <v>443</v>
      </c>
      <c r="D113" s="460" t="s">
        <v>1365</v>
      </c>
      <c r="E113" s="461">
        <f>-'FC-3_CPyG'!H77</f>
        <v>0</v>
      </c>
      <c r="F113" s="462"/>
      <c r="G113" s="462"/>
      <c r="H113" s="463">
        <f>SUM(E113:G113)</f>
        <v>0</v>
      </c>
      <c r="I113" s="442"/>
      <c r="K113" s="568"/>
    </row>
    <row r="114" spans="2:11" s="443" customFormat="1" ht="18" hidden="1">
      <c r="B114" s="440"/>
      <c r="C114" s="459" t="s">
        <v>443</v>
      </c>
      <c r="D114" s="460" t="s">
        <v>1366</v>
      </c>
      <c r="E114" s="461">
        <f>-'FC-3_CPyG'!H78</f>
        <v>0</v>
      </c>
      <c r="F114" s="462"/>
      <c r="G114" s="462"/>
      <c r="H114" s="463">
        <f t="shared" si="5"/>
        <v>0</v>
      </c>
      <c r="I114" s="442"/>
      <c r="K114" s="568"/>
    </row>
    <row r="115" spans="2:11" s="443" customFormat="1" ht="18" hidden="1">
      <c r="B115" s="440"/>
      <c r="C115" s="459" t="s">
        <v>443</v>
      </c>
      <c r="D115" s="460" t="s">
        <v>1367</v>
      </c>
      <c r="E115" s="461">
        <f>-'FC-3_CPyG'!H88</f>
        <v>0</v>
      </c>
      <c r="F115" s="462"/>
      <c r="G115" s="462"/>
      <c r="H115" s="463">
        <f>SUM(E115:G115)</f>
        <v>0</v>
      </c>
      <c r="I115" s="442"/>
      <c r="K115" s="568"/>
    </row>
    <row r="116" spans="2:11" s="443" customFormat="1" ht="18" hidden="1">
      <c r="B116" s="440"/>
      <c r="C116" s="563"/>
      <c r="D116" s="572"/>
      <c r="E116" s="462"/>
      <c r="F116" s="462"/>
      <c r="G116" s="555"/>
      <c r="H116" s="463">
        <f t="shared" si="5"/>
        <v>0</v>
      </c>
      <c r="I116" s="442"/>
      <c r="K116" s="568"/>
    </row>
    <row r="117" spans="2:11" s="443" customFormat="1" ht="18" hidden="1">
      <c r="B117" s="440"/>
      <c r="C117" s="565"/>
      <c r="D117" s="574"/>
      <c r="E117" s="462"/>
      <c r="F117" s="462"/>
      <c r="G117" s="556"/>
      <c r="H117" s="463">
        <f>SUM(E117:G117)</f>
        <v>0</v>
      </c>
      <c r="I117" s="442"/>
      <c r="K117" s="568"/>
    </row>
    <row r="118" spans="2:11" s="458" customFormat="1" ht="18">
      <c r="B118" s="453"/>
      <c r="C118" s="509" t="s">
        <v>527</v>
      </c>
      <c r="D118" s="510" t="s">
        <v>1287</v>
      </c>
      <c r="E118" s="511">
        <f>SUM(E119:E121)</f>
        <v>0</v>
      </c>
      <c r="F118" s="511">
        <f>SUM(F119:F121)</f>
        <v>1000000</v>
      </c>
      <c r="G118" s="511">
        <f>SUM(G119:G121)</f>
        <v>0</v>
      </c>
      <c r="H118" s="511">
        <f>SUM(H119:H121)</f>
        <v>1000000</v>
      </c>
      <c r="I118" s="457"/>
      <c r="K118" s="568"/>
    </row>
    <row r="119" spans="2:11" s="443" customFormat="1" ht="18" hidden="1">
      <c r="B119" s="440"/>
      <c r="C119" s="459" t="s">
        <v>502</v>
      </c>
      <c r="D119" s="460" t="s">
        <v>1368</v>
      </c>
      <c r="E119" s="461">
        <f>+'FC-3_1_INF_ADIC_CPyG'!E89</f>
        <v>0</v>
      </c>
      <c r="F119" s="462"/>
      <c r="G119" s="462"/>
      <c r="H119" s="463">
        <f>SUM(E119:G119)</f>
        <v>0</v>
      </c>
      <c r="I119" s="442"/>
      <c r="K119" s="568"/>
    </row>
    <row r="120" spans="2:11" s="443" customFormat="1" ht="18" hidden="1">
      <c r="B120" s="440"/>
      <c r="C120" s="563" t="s">
        <v>1320</v>
      </c>
      <c r="D120" s="572" t="s">
        <v>1369</v>
      </c>
      <c r="E120" s="462"/>
      <c r="F120" s="860">
        <f>'FC-4_1_MOV_FP'!L62</f>
        <v>1000000</v>
      </c>
      <c r="G120" s="555"/>
      <c r="H120" s="463">
        <f>SUM(E120:G120)</f>
        <v>1000000</v>
      </c>
      <c r="I120" s="442"/>
      <c r="K120" s="568"/>
    </row>
    <row r="121" spans="2:11" s="443" customFormat="1" ht="18">
      <c r="B121" s="440"/>
      <c r="C121" s="565"/>
      <c r="D121" s="574"/>
      <c r="E121" s="462"/>
      <c r="F121" s="462"/>
      <c r="G121" s="556"/>
      <c r="H121" s="463">
        <f>SUM(E121:G121)</f>
        <v>0</v>
      </c>
      <c r="I121" s="442"/>
      <c r="K121" s="568"/>
    </row>
    <row r="122" spans="2:11" s="108" customFormat="1" ht="18">
      <c r="B122" s="482"/>
      <c r="C122" s="1474" t="s">
        <v>1288</v>
      </c>
      <c r="D122" s="1475"/>
      <c r="E122" s="450">
        <f>E94+E99+E112+E118</f>
        <v>2351332.09</v>
      </c>
      <c r="F122" s="450">
        <f>F94+F99+F112+F118</f>
        <v>1000000</v>
      </c>
      <c r="G122" s="450">
        <f>G94+G99+G112+G118</f>
        <v>0</v>
      </c>
      <c r="H122" s="450">
        <f>H94+H99+H112+H118</f>
        <v>3351332.09</v>
      </c>
      <c r="I122" s="483"/>
      <c r="K122" s="568"/>
    </row>
    <row r="123" spans="2:11" s="443" customFormat="1" ht="15.75">
      <c r="B123" s="440"/>
      <c r="C123" s="150"/>
      <c r="D123" s="448"/>
      <c r="E123" s="432"/>
      <c r="F123" s="432"/>
      <c r="G123" s="432"/>
      <c r="H123" s="106"/>
      <c r="I123" s="442"/>
      <c r="K123" s="569"/>
    </row>
    <row r="124" spans="2:11" s="458" customFormat="1" ht="18">
      <c r="B124" s="453"/>
      <c r="C124" s="454" t="s">
        <v>538</v>
      </c>
      <c r="D124" s="176" t="s">
        <v>1289</v>
      </c>
      <c r="E124" s="455">
        <f>SUM(E125:E128)</f>
        <v>0</v>
      </c>
      <c r="F124" s="455">
        <f>SUM(F125:F128)</f>
        <v>4612000</v>
      </c>
      <c r="G124" s="455">
        <f>SUM(G125:G128)</f>
        <v>0</v>
      </c>
      <c r="H124" s="455">
        <f>SUM(H125:H128)</f>
        <v>4612000</v>
      </c>
      <c r="I124" s="457"/>
      <c r="K124" s="568"/>
    </row>
    <row r="125" spans="2:11" s="443" customFormat="1" ht="18" hidden="1">
      <c r="B125" s="440"/>
      <c r="C125" s="459" t="s">
        <v>815</v>
      </c>
      <c r="D125" s="475" t="s">
        <v>1370</v>
      </c>
      <c r="E125" s="462"/>
      <c r="F125" s="487">
        <f>+'FC-7_INF'!F31</f>
        <v>4612000</v>
      </c>
      <c r="G125" s="558"/>
      <c r="H125" s="463">
        <f>SUM(E125:G125)</f>
        <v>4612000</v>
      </c>
      <c r="I125" s="442"/>
      <c r="K125" s="568"/>
    </row>
    <row r="126" spans="2:11" s="437" customFormat="1" ht="18" hidden="1">
      <c r="B126" s="469"/>
      <c r="C126" s="459" t="s">
        <v>815</v>
      </c>
      <c r="D126" s="475" t="s">
        <v>1371</v>
      </c>
      <c r="E126" s="462"/>
      <c r="F126" s="487">
        <f>+'FC-7_INF'!H31</f>
        <v>0</v>
      </c>
      <c r="G126" s="558"/>
      <c r="H126" s="463">
        <f>SUM(E126:G126)</f>
        <v>0</v>
      </c>
      <c r="I126" s="470"/>
      <c r="K126" s="568"/>
    </row>
    <row r="127" spans="2:11" s="437" customFormat="1" ht="18" hidden="1">
      <c r="B127" s="469"/>
      <c r="C127" s="563"/>
      <c r="D127" s="564"/>
      <c r="E127" s="462"/>
      <c r="F127" s="462"/>
      <c r="G127" s="407"/>
      <c r="H127" s="463">
        <f>SUM(E127:G127)</f>
        <v>0</v>
      </c>
      <c r="I127" s="470"/>
      <c r="K127" s="568"/>
    </row>
    <row r="128" spans="2:11" s="437" customFormat="1" ht="18" hidden="1">
      <c r="B128" s="469"/>
      <c r="C128" s="565"/>
      <c r="D128" s="573"/>
      <c r="E128" s="519"/>
      <c r="F128" s="519"/>
      <c r="G128" s="560"/>
      <c r="H128" s="463">
        <f>SUM(E128:G128)</f>
        <v>0</v>
      </c>
      <c r="I128" s="470"/>
      <c r="K128" s="568"/>
    </row>
    <row r="129" spans="2:12" s="458" customFormat="1" ht="18">
      <c r="B129" s="453"/>
      <c r="C129" s="454" t="s">
        <v>540</v>
      </c>
      <c r="D129" s="176" t="s">
        <v>1276</v>
      </c>
      <c r="E129" s="455">
        <f>SUM(E130:E132)</f>
        <v>0</v>
      </c>
      <c r="F129" s="455">
        <f>SUM(F130:F132)</f>
        <v>0</v>
      </c>
      <c r="G129" s="455">
        <f>SUM(G130:G132)</f>
        <v>0</v>
      </c>
      <c r="H129" s="455">
        <f>SUM(H130:H132)</f>
        <v>0</v>
      </c>
      <c r="I129" s="457"/>
      <c r="K129" s="568"/>
    </row>
    <row r="130" spans="2:12" s="437" customFormat="1" ht="18" hidden="1">
      <c r="B130" s="469"/>
      <c r="C130" s="459" t="s">
        <v>1320</v>
      </c>
      <c r="D130" s="475" t="s">
        <v>1372</v>
      </c>
      <c r="E130" s="462"/>
      <c r="F130" s="492">
        <f>'FC-4_1_MOV_FP'!G43</f>
        <v>0</v>
      </c>
      <c r="G130" s="559"/>
      <c r="H130" s="463">
        <f>SUM(E130:G130)</f>
        <v>0</v>
      </c>
      <c r="I130" s="470"/>
      <c r="K130" s="568"/>
      <c r="L130" s="465"/>
    </row>
    <row r="131" spans="2:12" s="437" customFormat="1" ht="18" hidden="1">
      <c r="B131" s="469"/>
      <c r="C131" s="563"/>
      <c r="D131" s="564"/>
      <c r="E131" s="462"/>
      <c r="F131" s="462"/>
      <c r="G131" s="408"/>
      <c r="H131" s="463">
        <f>SUM(E131:G131)</f>
        <v>0</v>
      </c>
      <c r="I131" s="470"/>
      <c r="K131" s="568"/>
    </row>
    <row r="132" spans="2:12" s="437" customFormat="1" ht="18">
      <c r="B132" s="469"/>
      <c r="C132" s="565"/>
      <c r="D132" s="573"/>
      <c r="E132" s="519"/>
      <c r="F132" s="519"/>
      <c r="G132" s="561"/>
      <c r="H132" s="463">
        <f>SUM(E132:G132)</f>
        <v>0</v>
      </c>
      <c r="I132" s="470"/>
      <c r="K132" s="568"/>
    </row>
    <row r="133" spans="2:12" s="108" customFormat="1" ht="18">
      <c r="B133" s="482"/>
      <c r="C133" s="1474" t="s">
        <v>1290</v>
      </c>
      <c r="D133" s="1475"/>
      <c r="E133" s="450">
        <f>+E124+E129</f>
        <v>0</v>
      </c>
      <c r="F133" s="450">
        <f>+F124+F129</f>
        <v>4612000</v>
      </c>
      <c r="G133" s="450">
        <f>+G124+G129</f>
        <v>0</v>
      </c>
      <c r="H133" s="450">
        <f>+H124+H129</f>
        <v>4612000</v>
      </c>
      <c r="I133" s="483"/>
      <c r="K133" s="568"/>
    </row>
    <row r="134" spans="2:12" s="443" customFormat="1" ht="15.75">
      <c r="B134" s="440"/>
      <c r="C134" s="150"/>
      <c r="D134" s="448"/>
      <c r="E134" s="432"/>
      <c r="F134" s="432"/>
      <c r="G134" s="432"/>
      <c r="H134" s="106"/>
      <c r="I134" s="442"/>
      <c r="K134" s="569"/>
    </row>
    <row r="135" spans="2:12" s="458" customFormat="1" ht="18">
      <c r="B135" s="453"/>
      <c r="C135" s="454" t="s">
        <v>593</v>
      </c>
      <c r="D135" s="176" t="s">
        <v>1278</v>
      </c>
      <c r="E135" s="455">
        <f>SUM(E136:E141)</f>
        <v>0</v>
      </c>
      <c r="F135" s="455">
        <f>SUM(F136:F141)</f>
        <v>1000000</v>
      </c>
      <c r="G135" s="455">
        <f>SUM(G136:G141)</f>
        <v>0</v>
      </c>
      <c r="H135" s="455">
        <f>SUM(H136:H141)</f>
        <v>1000000</v>
      </c>
      <c r="I135" s="457"/>
      <c r="K135" s="568"/>
    </row>
    <row r="136" spans="2:12" s="437" customFormat="1" ht="18" hidden="1">
      <c r="B136" s="469"/>
      <c r="C136" s="459" t="s">
        <v>847</v>
      </c>
      <c r="D136" s="475" t="s">
        <v>1373</v>
      </c>
      <c r="E136" s="462"/>
      <c r="F136" s="487">
        <f>'FC-8_INV_FINANCIERAS'!G25</f>
        <v>0</v>
      </c>
      <c r="G136" s="408"/>
      <c r="H136" s="463">
        <f t="shared" ref="H136:H141" si="6">SUM(E136:G136)</f>
        <v>0</v>
      </c>
      <c r="I136" s="470"/>
      <c r="K136" s="568"/>
    </row>
    <row r="137" spans="2:12" s="437" customFormat="1" ht="18" hidden="1">
      <c r="B137" s="469"/>
      <c r="C137" s="459" t="s">
        <v>847</v>
      </c>
      <c r="D137" s="475" t="s">
        <v>1374</v>
      </c>
      <c r="E137" s="462"/>
      <c r="F137" s="487">
        <f>'FC-8_INV_FINANCIERAS'!G34</f>
        <v>1000000</v>
      </c>
      <c r="G137" s="559"/>
      <c r="H137" s="463">
        <f t="shared" si="6"/>
        <v>1000000</v>
      </c>
      <c r="I137" s="470"/>
      <c r="K137" s="568"/>
    </row>
    <row r="138" spans="2:12" s="437" customFormat="1" ht="18" hidden="1">
      <c r="B138" s="469"/>
      <c r="C138" s="459" t="s">
        <v>847</v>
      </c>
      <c r="D138" s="475" t="s">
        <v>1375</v>
      </c>
      <c r="E138" s="462"/>
      <c r="F138" s="487">
        <f>'FC-8_INV_FINANCIERAS'!G49</f>
        <v>0</v>
      </c>
      <c r="G138" s="408"/>
      <c r="H138" s="463">
        <f t="shared" si="6"/>
        <v>0</v>
      </c>
      <c r="I138" s="470"/>
      <c r="K138" s="568"/>
    </row>
    <row r="139" spans="2:12" s="437" customFormat="1" ht="18" hidden="1">
      <c r="B139" s="469"/>
      <c r="C139" s="459" t="s">
        <v>847</v>
      </c>
      <c r="D139" s="475" t="s">
        <v>1376</v>
      </c>
      <c r="E139" s="462"/>
      <c r="F139" s="487">
        <f>'FC-8_INV_FINANCIERAS'!G58</f>
        <v>0</v>
      </c>
      <c r="G139" s="408"/>
      <c r="H139" s="463">
        <f t="shared" si="6"/>
        <v>0</v>
      </c>
      <c r="I139" s="470"/>
      <c r="K139" s="568"/>
    </row>
    <row r="140" spans="2:12" s="437" customFormat="1" ht="18" hidden="1">
      <c r="B140" s="469"/>
      <c r="C140" s="563"/>
      <c r="D140" s="564"/>
      <c r="E140" s="462"/>
      <c r="F140" s="462"/>
      <c r="G140" s="408"/>
      <c r="H140" s="463">
        <f t="shared" si="6"/>
        <v>0</v>
      </c>
      <c r="I140" s="470"/>
      <c r="K140" s="568"/>
    </row>
    <row r="141" spans="2:12" s="437" customFormat="1" ht="18" hidden="1">
      <c r="B141" s="469"/>
      <c r="C141" s="565"/>
      <c r="D141" s="573"/>
      <c r="E141" s="519"/>
      <c r="F141" s="519"/>
      <c r="G141" s="561"/>
      <c r="H141" s="463">
        <f t="shared" si="6"/>
        <v>0</v>
      </c>
      <c r="I141" s="470"/>
      <c r="K141" s="568"/>
    </row>
    <row r="142" spans="2:12" s="437" customFormat="1" ht="18">
      <c r="B142" s="469"/>
      <c r="C142" s="484" t="s">
        <v>595</v>
      </c>
      <c r="D142" s="319" t="s">
        <v>1279</v>
      </c>
      <c r="E142" s="485">
        <f>SUM(E143:E149)</f>
        <v>0</v>
      </c>
      <c r="F142" s="485">
        <f>SUM(F143:F149)</f>
        <v>0</v>
      </c>
      <c r="G142" s="485">
        <f>SUM(G143:G149)</f>
        <v>0</v>
      </c>
      <c r="H142" s="485">
        <f>SUM(H143:H149)</f>
        <v>0</v>
      </c>
      <c r="I142" s="470"/>
      <c r="K142" s="568"/>
    </row>
    <row r="143" spans="2:12" s="437" customFormat="1" ht="18" hidden="1">
      <c r="B143" s="469"/>
      <c r="C143" s="459" t="s">
        <v>958</v>
      </c>
      <c r="D143" s="475" t="s">
        <v>1377</v>
      </c>
      <c r="E143" s="462"/>
      <c r="F143" s="860">
        <f>-'FC-10_DEUDAS'!N51</f>
        <v>0</v>
      </c>
      <c r="G143" s="559"/>
      <c r="H143" s="463">
        <f t="shared" ref="H143:H149" si="7">SUM(E143:G143)</f>
        <v>0</v>
      </c>
      <c r="I143" s="470"/>
      <c r="K143" s="568"/>
    </row>
    <row r="144" spans="2:12" s="437" customFormat="1" ht="18" hidden="1">
      <c r="B144" s="469"/>
      <c r="C144" s="459"/>
      <c r="D144" s="475" t="s">
        <v>1378</v>
      </c>
      <c r="E144" s="462"/>
      <c r="F144" s="862"/>
      <c r="G144" s="559"/>
      <c r="H144" s="463">
        <f t="shared" si="7"/>
        <v>0</v>
      </c>
      <c r="I144" s="470"/>
      <c r="K144" s="568"/>
      <c r="L144" s="465" t="s">
        <v>1329</v>
      </c>
    </row>
    <row r="145" spans="2:12" s="481" customFormat="1" ht="18" hidden="1">
      <c r="B145" s="478"/>
      <c r="C145" s="459"/>
      <c r="D145" s="475" t="s">
        <v>1379</v>
      </c>
      <c r="E145" s="479"/>
      <c r="F145" s="860">
        <f>-'FC-10_DEUDAS'!N28</f>
        <v>0</v>
      </c>
      <c r="G145" s="407"/>
      <c r="H145" s="463">
        <f t="shared" si="7"/>
        <v>0</v>
      </c>
      <c r="I145" s="480"/>
      <c r="K145" s="568"/>
      <c r="L145" s="465" t="s">
        <v>1329</v>
      </c>
    </row>
    <row r="146" spans="2:12" s="481" customFormat="1" ht="18" hidden="1">
      <c r="B146" s="478"/>
      <c r="C146" s="459" t="s">
        <v>958</v>
      </c>
      <c r="D146" s="475" t="s">
        <v>1380</v>
      </c>
      <c r="E146" s="479"/>
      <c r="F146" s="860">
        <f>-'FC-10_DEUDAS'!N73-'FC-9_1_SUBV_REINT'!L59</f>
        <v>0</v>
      </c>
      <c r="G146" s="559"/>
      <c r="H146" s="463">
        <f t="shared" si="7"/>
        <v>0</v>
      </c>
      <c r="I146" s="480"/>
      <c r="K146" s="568"/>
      <c r="L146" s="465"/>
    </row>
    <row r="147" spans="2:12" s="437" customFormat="1" ht="18" hidden="1">
      <c r="B147" s="469"/>
      <c r="C147" s="459" t="s">
        <v>958</v>
      </c>
      <c r="D147" s="475" t="s">
        <v>1381</v>
      </c>
      <c r="E147" s="462"/>
      <c r="F147" s="860">
        <f>-'FC-10_DEUDAS'!N95</f>
        <v>0</v>
      </c>
      <c r="G147" s="408"/>
      <c r="H147" s="463">
        <f t="shared" si="7"/>
        <v>0</v>
      </c>
      <c r="I147" s="470"/>
      <c r="K147" s="568"/>
    </row>
    <row r="148" spans="2:12" s="437" customFormat="1" ht="18" hidden="1">
      <c r="B148" s="469"/>
      <c r="C148" s="459"/>
      <c r="D148" s="475" t="s">
        <v>1382</v>
      </c>
      <c r="E148" s="462"/>
      <c r="F148" s="863"/>
      <c r="G148" s="408"/>
      <c r="H148" s="463">
        <f t="shared" si="7"/>
        <v>0</v>
      </c>
      <c r="I148" s="470"/>
      <c r="K148" s="568"/>
      <c r="L148" s="520" t="s">
        <v>1329</v>
      </c>
    </row>
    <row r="149" spans="2:12" s="437" customFormat="1" ht="18">
      <c r="B149" s="469"/>
      <c r="C149" s="565"/>
      <c r="D149" s="573"/>
      <c r="E149" s="519"/>
      <c r="F149" s="519"/>
      <c r="G149" s="561"/>
      <c r="H149" s="463">
        <f t="shared" si="7"/>
        <v>0</v>
      </c>
      <c r="I149" s="470"/>
      <c r="K149" s="568"/>
    </row>
    <row r="150" spans="2:12" s="474" customFormat="1" ht="18">
      <c r="B150" s="471"/>
      <c r="C150" s="1482" t="s">
        <v>1291</v>
      </c>
      <c r="D150" s="1483"/>
      <c r="E150" s="472">
        <f>+E135+E142</f>
        <v>0</v>
      </c>
      <c r="F150" s="472">
        <f>+F135+F142</f>
        <v>1000000</v>
      </c>
      <c r="G150" s="472">
        <f>+G135+G142</f>
        <v>0</v>
      </c>
      <c r="H150" s="472">
        <f>+H135+H142</f>
        <v>1000000</v>
      </c>
      <c r="I150" s="473"/>
      <c r="K150" s="568"/>
    </row>
    <row r="151" spans="2:12" s="443" customFormat="1" ht="15">
      <c r="B151" s="440"/>
      <c r="C151" s="448"/>
      <c r="D151" s="431"/>
      <c r="E151" s="432"/>
      <c r="F151" s="432"/>
      <c r="G151" s="432"/>
      <c r="H151" s="494"/>
      <c r="I151" s="442"/>
      <c r="K151" s="569"/>
    </row>
    <row r="152" spans="2:12" s="108" customFormat="1" ht="18.75" thickBot="1">
      <c r="B152" s="482"/>
      <c r="C152" s="1484" t="s">
        <v>1383</v>
      </c>
      <c r="D152" s="1485"/>
      <c r="E152" s="521">
        <f>+E122+E133+E150</f>
        <v>2351332.09</v>
      </c>
      <c r="F152" s="521">
        <f>+F122+F133+F150</f>
        <v>6612000</v>
      </c>
      <c r="G152" s="521">
        <f>+G122+G133+G150</f>
        <v>0</v>
      </c>
      <c r="H152" s="521">
        <f>+H122+H133+H150</f>
        <v>8963332.0899999999</v>
      </c>
      <c r="I152" s="483"/>
      <c r="K152" s="568"/>
    </row>
    <row r="153" spans="2:12" s="443" customFormat="1" ht="15.75">
      <c r="B153" s="440"/>
      <c r="C153" s="150"/>
      <c r="D153" s="448"/>
      <c r="E153" s="432"/>
      <c r="F153" s="432"/>
      <c r="G153" s="432"/>
      <c r="H153" s="106"/>
      <c r="I153" s="442"/>
      <c r="K153" s="569"/>
    </row>
    <row r="154" spans="2:12" s="443" customFormat="1" ht="18.75" thickBot="1">
      <c r="B154" s="440"/>
      <c r="C154" s="522" t="s">
        <v>1384</v>
      </c>
      <c r="D154" s="523"/>
      <c r="E154" s="524">
        <f>E76-E152</f>
        <v>2304284.1700000009</v>
      </c>
      <c r="F154" s="524">
        <f>F76-F152</f>
        <v>-3096957.34</v>
      </c>
      <c r="G154" s="524">
        <f>G76-G152</f>
        <v>0</v>
      </c>
      <c r="H154" s="524">
        <f>H76-H152</f>
        <v>-792673.16999999899</v>
      </c>
      <c r="I154" s="442"/>
      <c r="K154" s="568"/>
    </row>
    <row r="155" spans="2:12" s="443" customFormat="1" ht="16.5" thickTop="1">
      <c r="B155" s="440"/>
      <c r="C155" s="150"/>
      <c r="D155" s="448"/>
      <c r="E155" s="432"/>
      <c r="F155" s="432"/>
      <c r="G155" s="432"/>
      <c r="H155" s="106"/>
      <c r="I155" s="442"/>
      <c r="K155" s="569"/>
    </row>
    <row r="156" spans="2:12" s="443" customFormat="1" ht="15.75">
      <c r="B156" s="440"/>
      <c r="C156" s="150"/>
      <c r="D156" s="448"/>
      <c r="E156" s="432"/>
      <c r="F156" s="432"/>
      <c r="G156" s="432"/>
      <c r="H156" s="106"/>
      <c r="I156" s="442"/>
      <c r="K156" s="569"/>
    </row>
    <row r="157" spans="2:12" s="494" customFormat="1" ht="18">
      <c r="B157" s="525"/>
      <c r="C157" s="1486" t="s">
        <v>1293</v>
      </c>
      <c r="D157" s="1487"/>
      <c r="E157" s="526">
        <f>SUM(E158:E169)</f>
        <v>713501.17</v>
      </c>
      <c r="F157" s="527">
        <f>SUM(F158:F169)</f>
        <v>0</v>
      </c>
      <c r="G157" s="527">
        <f>SUM(G158:G169)</f>
        <v>0</v>
      </c>
      <c r="H157" s="527">
        <f>SUM(H158:H169)</f>
        <v>713501.17</v>
      </c>
      <c r="I157" s="528"/>
      <c r="K157" s="568"/>
    </row>
    <row r="158" spans="2:12" s="437" customFormat="1" ht="18" hidden="1">
      <c r="B158" s="469"/>
      <c r="C158" s="459" t="s">
        <v>443</v>
      </c>
      <c r="D158" s="460" t="s">
        <v>1338</v>
      </c>
      <c r="E158" s="461">
        <f>IF('FC-3_CPyG'!H20&lt;0,-'FC-3_CPyG'!H20,0)</f>
        <v>0</v>
      </c>
      <c r="F158" s="462"/>
      <c r="G158" s="462"/>
      <c r="H158" s="463">
        <f>SUM(E158:G158)</f>
        <v>0</v>
      </c>
      <c r="I158" s="470"/>
      <c r="K158" s="568"/>
      <c r="L158" s="437" t="s">
        <v>1385</v>
      </c>
    </row>
    <row r="159" spans="2:12" s="443" customFormat="1" ht="18" hidden="1">
      <c r="B159" s="440"/>
      <c r="C159" s="459" t="s">
        <v>443</v>
      </c>
      <c r="D159" s="460" t="s">
        <v>1386</v>
      </c>
      <c r="E159" s="461">
        <f>-'FC-3_CPyG'!H26</f>
        <v>0</v>
      </c>
      <c r="F159" s="462"/>
      <c r="G159" s="462"/>
      <c r="H159" s="463">
        <f t="shared" ref="H159:H169" si="8">SUM(E159:G159)</f>
        <v>0</v>
      </c>
      <c r="I159" s="442"/>
      <c r="K159" s="568"/>
    </row>
    <row r="160" spans="2:12" s="443" customFormat="1" ht="18" hidden="1">
      <c r="B160" s="440"/>
      <c r="C160" s="459" t="s">
        <v>443</v>
      </c>
      <c r="D160" s="460" t="s">
        <v>1387</v>
      </c>
      <c r="E160" s="461">
        <f>-'FC-3_CPyG'!H35</f>
        <v>0</v>
      </c>
      <c r="F160" s="462"/>
      <c r="G160" s="462"/>
      <c r="H160" s="463">
        <f t="shared" si="8"/>
        <v>0</v>
      </c>
      <c r="I160" s="442"/>
      <c r="K160" s="568"/>
    </row>
    <row r="161" spans="2:12" s="443" customFormat="1" ht="18" hidden="1">
      <c r="B161" s="440"/>
      <c r="C161" s="459" t="s">
        <v>443</v>
      </c>
      <c r="D161" s="460" t="s">
        <v>1388</v>
      </c>
      <c r="E161" s="461">
        <f>-'FC-3_CPyG'!H39</f>
        <v>46325.53</v>
      </c>
      <c r="F161" s="462"/>
      <c r="G161" s="462"/>
      <c r="H161" s="463">
        <f t="shared" si="8"/>
        <v>46325.53</v>
      </c>
      <c r="I161" s="442"/>
      <c r="K161" s="568"/>
    </row>
    <row r="162" spans="2:12" s="443" customFormat="1" ht="18" hidden="1">
      <c r="B162" s="440"/>
      <c r="C162" s="459" t="s">
        <v>443</v>
      </c>
      <c r="D162" s="460" t="s">
        <v>1389</v>
      </c>
      <c r="E162" s="461">
        <f>-'FC-3_CPyG'!H42</f>
        <v>667175.64</v>
      </c>
      <c r="F162" s="462"/>
      <c r="G162" s="462"/>
      <c r="H162" s="463">
        <f t="shared" si="8"/>
        <v>667175.64</v>
      </c>
      <c r="I162" s="442"/>
      <c r="K162" s="568"/>
    </row>
    <row r="163" spans="2:12" s="443" customFormat="1" ht="18" hidden="1">
      <c r="B163" s="440"/>
      <c r="C163" s="459" t="s">
        <v>443</v>
      </c>
      <c r="D163" s="460" t="s">
        <v>1390</v>
      </c>
      <c r="E163" s="461">
        <f>-'FC-3_CPyG'!H49</f>
        <v>0</v>
      </c>
      <c r="F163" s="462"/>
      <c r="G163" s="462"/>
      <c r="H163" s="463">
        <f t="shared" si="8"/>
        <v>0</v>
      </c>
      <c r="I163" s="442"/>
      <c r="K163" s="568"/>
    </row>
    <row r="164" spans="2:12" s="443" customFormat="1" ht="18" hidden="1">
      <c r="B164" s="440"/>
      <c r="C164" s="590" t="s">
        <v>443</v>
      </c>
      <c r="D164" s="591" t="s">
        <v>1344</v>
      </c>
      <c r="E164" s="592">
        <f>IF('FC-3_CPyG'!H53&lt;0,-'FC-3_CPyG'!H53,0)</f>
        <v>0</v>
      </c>
      <c r="F164" s="462"/>
      <c r="G164" s="462"/>
      <c r="H164" s="463">
        <f t="shared" si="8"/>
        <v>0</v>
      </c>
      <c r="I164" s="442"/>
      <c r="K164" s="743" t="s">
        <v>1391</v>
      </c>
    </row>
    <row r="165" spans="2:12" s="443" customFormat="1" ht="18" hidden="1">
      <c r="B165" s="440"/>
      <c r="C165" s="459" t="s">
        <v>443</v>
      </c>
      <c r="D165" s="460" t="s">
        <v>1392</v>
      </c>
      <c r="E165" s="461">
        <f>-'FC-3_CPyG'!H57</f>
        <v>0</v>
      </c>
      <c r="F165" s="462"/>
      <c r="G165" s="462"/>
      <c r="H165" s="463">
        <f t="shared" si="8"/>
        <v>0</v>
      </c>
      <c r="I165" s="442"/>
      <c r="K165" s="568"/>
      <c r="L165" s="512"/>
    </row>
    <row r="166" spans="2:12" s="443" customFormat="1" ht="18" hidden="1">
      <c r="B166" s="440"/>
      <c r="C166" s="459" t="s">
        <v>1393</v>
      </c>
      <c r="D166" s="460" t="s">
        <v>1394</v>
      </c>
      <c r="E166" s="461">
        <f>-'FC-3_1_INF_ADIC_CPyG'!E61</f>
        <v>0</v>
      </c>
      <c r="F166" s="462"/>
      <c r="G166" s="462"/>
      <c r="H166" s="463">
        <f t="shared" si="8"/>
        <v>0</v>
      </c>
      <c r="I166" s="442"/>
      <c r="K166" s="568"/>
      <c r="L166" s="512"/>
    </row>
    <row r="167" spans="2:12" s="443" customFormat="1" ht="18" hidden="1">
      <c r="B167" s="440"/>
      <c r="C167" s="459" t="s">
        <v>443</v>
      </c>
      <c r="D167" s="460" t="s">
        <v>1395</v>
      </c>
      <c r="E167" s="461">
        <f>-'FC-3_CPyG'!H79</f>
        <v>0</v>
      </c>
      <c r="F167" s="462"/>
      <c r="G167" s="462"/>
      <c r="H167" s="463">
        <f t="shared" si="8"/>
        <v>0</v>
      </c>
      <c r="I167" s="442"/>
      <c r="K167" s="568"/>
    </row>
    <row r="168" spans="2:12" s="443" customFormat="1" ht="18" hidden="1">
      <c r="B168" s="440"/>
      <c r="C168" s="459" t="s">
        <v>443</v>
      </c>
      <c r="D168" s="460" t="s">
        <v>1396</v>
      </c>
      <c r="E168" s="461">
        <f>-'FC-3_CPyG'!H83</f>
        <v>0</v>
      </c>
      <c r="F168" s="462"/>
      <c r="G168" s="462"/>
      <c r="H168" s="463">
        <f t="shared" si="8"/>
        <v>0</v>
      </c>
      <c r="I168" s="442"/>
      <c r="K168" s="568"/>
    </row>
    <row r="169" spans="2:12" s="443" customFormat="1" ht="18" hidden="1">
      <c r="B169" s="440"/>
      <c r="C169" s="529" t="s">
        <v>443</v>
      </c>
      <c r="D169" s="530" t="s">
        <v>1397</v>
      </c>
      <c r="E169" s="531">
        <f>-'FC-3_CPyG'!H84</f>
        <v>0</v>
      </c>
      <c r="F169" s="532"/>
      <c r="G169" s="532"/>
      <c r="H169" s="533">
        <f t="shared" si="8"/>
        <v>0</v>
      </c>
      <c r="I169" s="442"/>
      <c r="K169" s="568"/>
    </row>
    <row r="170" spans="2:12" s="443" customFormat="1" ht="15">
      <c r="B170" s="440"/>
      <c r="C170" s="500"/>
      <c r="D170" s="534"/>
      <c r="E170" s="534"/>
      <c r="F170" s="534"/>
      <c r="G170" s="534"/>
      <c r="H170" s="534"/>
      <c r="I170" s="442"/>
      <c r="K170" s="569"/>
    </row>
    <row r="171" spans="2:12" s="443" customFormat="1" ht="18.75" thickBot="1">
      <c r="B171" s="440"/>
      <c r="C171" s="1472" t="s">
        <v>1398</v>
      </c>
      <c r="D171" s="1473"/>
      <c r="E171" s="502">
        <f>+E152+E157</f>
        <v>3064833.26</v>
      </c>
      <c r="F171" s="502">
        <f>+F152+F157</f>
        <v>6612000</v>
      </c>
      <c r="G171" s="502">
        <f>+G152+G157</f>
        <v>0</v>
      </c>
      <c r="H171" s="502">
        <f>+H152+H157</f>
        <v>9676833.2599999998</v>
      </c>
      <c r="I171" s="442"/>
      <c r="K171" s="568"/>
    </row>
    <row r="172" spans="2:12" s="443" customFormat="1" ht="18">
      <c r="B172" s="440"/>
      <c r="C172" s="535"/>
      <c r="D172" s="535"/>
      <c r="E172" s="536"/>
      <c r="F172" s="536"/>
      <c r="G172" s="536"/>
      <c r="H172" s="536"/>
      <c r="I172" s="442"/>
      <c r="K172" s="569"/>
    </row>
    <row r="173" spans="2:12" s="443" customFormat="1" ht="18.75" thickBot="1">
      <c r="B173" s="440"/>
      <c r="C173" s="522" t="s">
        <v>1399</v>
      </c>
      <c r="D173" s="523"/>
      <c r="E173" s="524">
        <f>+E89-E171</f>
        <v>1610573.6400000006</v>
      </c>
      <c r="F173" s="524">
        <f>+F89-F171</f>
        <v>-3096957.34</v>
      </c>
      <c r="G173" s="524">
        <f>+G89-G171</f>
        <v>0</v>
      </c>
      <c r="H173" s="524">
        <f>+H89-H171</f>
        <v>-1486383.6999999993</v>
      </c>
      <c r="I173" s="442"/>
      <c r="K173" s="568"/>
    </row>
    <row r="174" spans="2:12" s="443" customFormat="1" ht="15.75" thickTop="1">
      <c r="B174" s="440"/>
      <c r="C174" s="500"/>
      <c r="D174" s="500"/>
      <c r="E174" s="537"/>
      <c r="F174" s="537"/>
      <c r="G174" s="537"/>
      <c r="H174" s="538"/>
      <c r="I174" s="442"/>
      <c r="K174" s="569"/>
    </row>
    <row r="175" spans="2:12" s="443" customFormat="1" ht="18">
      <c r="B175" s="440"/>
      <c r="C175" s="1488" t="s">
        <v>1400</v>
      </c>
      <c r="D175" s="1489"/>
      <c r="E175" s="539">
        <f>E176+E183+E185+E192+E193+E202</f>
        <v>0</v>
      </c>
      <c r="F175" s="539">
        <f>F176+F183+F185+F192+F193+F202+F204</f>
        <v>1486383.7</v>
      </c>
      <c r="G175" s="539">
        <f>G176+G183+G185+G192+G193+G202+G204</f>
        <v>0</v>
      </c>
      <c r="H175" s="539">
        <f>H176+H183+H185+H192+H193+H202+H204</f>
        <v>1486383.7</v>
      </c>
      <c r="I175" s="442"/>
      <c r="K175" s="568"/>
    </row>
    <row r="176" spans="2:12" s="443" customFormat="1" ht="18" hidden="1">
      <c r="B176" s="440"/>
      <c r="C176" s="540" t="s">
        <v>508</v>
      </c>
      <c r="D176" s="475"/>
      <c r="E176" s="541"/>
      <c r="F176" s="1490">
        <f>SUM(F179:F182)</f>
        <v>667175.64</v>
      </c>
      <c r="G176" s="1490">
        <f>SUM(G179:G182)</f>
        <v>0</v>
      </c>
      <c r="H176" s="1490">
        <f>F176+G176</f>
        <v>667175.64</v>
      </c>
      <c r="I176" s="442"/>
      <c r="K176" s="568"/>
    </row>
    <row r="177" spans="2:11" s="443" customFormat="1" ht="18" hidden="1">
      <c r="B177" s="440"/>
      <c r="C177" s="542" t="s">
        <v>519</v>
      </c>
      <c r="D177" s="475"/>
      <c r="E177" s="541"/>
      <c r="F177" s="1491"/>
      <c r="G177" s="1491"/>
      <c r="H177" s="1491"/>
      <c r="I177" s="442"/>
      <c r="K177" s="568"/>
    </row>
    <row r="178" spans="2:11" s="443" customFormat="1" ht="18" hidden="1">
      <c r="B178" s="440"/>
      <c r="C178" s="542" t="s">
        <v>524</v>
      </c>
      <c r="D178" s="475"/>
      <c r="E178" s="541"/>
      <c r="F178" s="1492"/>
      <c r="G178" s="1492"/>
      <c r="H178" s="1492"/>
      <c r="I178" s="442"/>
      <c r="K178" s="568"/>
    </row>
    <row r="179" spans="2:11" s="443" customFormat="1" ht="18" hidden="1">
      <c r="B179" s="440"/>
      <c r="C179" s="459" t="s">
        <v>815</v>
      </c>
      <c r="D179" s="475" t="s">
        <v>1401</v>
      </c>
      <c r="E179" s="462"/>
      <c r="F179" s="487">
        <f>-'FC-7_INF'!G31</f>
        <v>0</v>
      </c>
      <c r="G179" s="558"/>
      <c r="H179" s="463"/>
      <c r="I179" s="442"/>
      <c r="K179" s="568"/>
    </row>
    <row r="180" spans="2:11" s="443" customFormat="1" ht="18" hidden="1">
      <c r="B180" s="440"/>
      <c r="C180" s="459" t="s">
        <v>815</v>
      </c>
      <c r="D180" s="475" t="s">
        <v>1402</v>
      </c>
      <c r="E180" s="462"/>
      <c r="F180" s="487">
        <f>-'FC-7_INF'!I31</f>
        <v>667175.64</v>
      </c>
      <c r="G180" s="558"/>
      <c r="H180" s="463"/>
      <c r="I180" s="442"/>
      <c r="K180" s="568"/>
    </row>
    <row r="181" spans="2:11" s="443" customFormat="1" ht="18" hidden="1">
      <c r="B181" s="440"/>
      <c r="C181" s="459" t="s">
        <v>815</v>
      </c>
      <c r="D181" s="475" t="s">
        <v>1403</v>
      </c>
      <c r="E181" s="462"/>
      <c r="F181" s="487">
        <f>-'FC-7_INF'!J31</f>
        <v>0</v>
      </c>
      <c r="G181" s="558"/>
      <c r="H181" s="463"/>
      <c r="I181" s="442"/>
      <c r="K181" s="568"/>
    </row>
    <row r="182" spans="2:11" s="443" customFormat="1" ht="18" hidden="1">
      <c r="B182" s="440"/>
      <c r="C182" s="459" t="s">
        <v>815</v>
      </c>
      <c r="D182" s="475" t="s">
        <v>1404</v>
      </c>
      <c r="E182" s="462"/>
      <c r="F182" s="487">
        <f>-'FC-7_INF'!L31</f>
        <v>0</v>
      </c>
      <c r="G182" s="558"/>
      <c r="H182" s="463"/>
      <c r="I182" s="442"/>
      <c r="K182" s="568"/>
    </row>
    <row r="183" spans="2:11" s="443" customFormat="1" ht="18" hidden="1">
      <c r="B183" s="440"/>
      <c r="C183" s="542" t="s">
        <v>73</v>
      </c>
      <c r="D183" s="475"/>
      <c r="E183" s="462"/>
      <c r="F183" s="543">
        <f>F184</f>
        <v>0</v>
      </c>
      <c r="G183" s="543">
        <f>G184</f>
        <v>0</v>
      </c>
      <c r="H183" s="544">
        <f>F183+G183</f>
        <v>0</v>
      </c>
      <c r="I183" s="442"/>
      <c r="K183" s="568"/>
    </row>
    <row r="184" spans="2:11" s="443" customFormat="1" ht="18" hidden="1">
      <c r="B184" s="440"/>
      <c r="C184" s="459" t="s">
        <v>847</v>
      </c>
      <c r="D184" s="475" t="s">
        <v>826</v>
      </c>
      <c r="E184" s="462"/>
      <c r="F184" s="487">
        <f>-'FC-8_INV_FINANCIERAS'!I25-'FC-8_INV_FINANCIERAS'!I34-'FC-8_INV_FINANCIERAS'!I49-'FC-8_INV_FINANCIERAS'!I58</f>
        <v>0</v>
      </c>
      <c r="G184" s="558"/>
      <c r="H184" s="463"/>
      <c r="I184" s="442"/>
      <c r="K184" s="568"/>
    </row>
    <row r="185" spans="2:11" s="443" customFormat="1" ht="18" hidden="1">
      <c r="B185" s="440"/>
      <c r="C185" s="542" t="s">
        <v>1405</v>
      </c>
      <c r="D185" s="475"/>
      <c r="E185" s="462"/>
      <c r="F185" s="864">
        <f>SUM(F186:F191)</f>
        <v>800961.37</v>
      </c>
      <c r="G185" s="543">
        <f>SUM(G187:G191)</f>
        <v>0</v>
      </c>
      <c r="H185" s="544">
        <f>F185+G185</f>
        <v>800961.37</v>
      </c>
      <c r="I185" s="442"/>
      <c r="K185" s="568"/>
    </row>
    <row r="186" spans="2:11" s="443" customFormat="1" ht="18" hidden="1">
      <c r="B186" s="440"/>
      <c r="C186" s="459" t="s">
        <v>1406</v>
      </c>
      <c r="D186" s="475" t="s">
        <v>1407</v>
      </c>
      <c r="E186" s="462"/>
      <c r="F186" s="487">
        <f>-('FC-4_ACTIVO'!H47-'FC-4_ACTIVO'!G47)</f>
        <v>0</v>
      </c>
      <c r="G186" s="543"/>
      <c r="H186" s="544"/>
      <c r="I186" s="442"/>
      <c r="K186" s="568"/>
    </row>
    <row r="187" spans="2:11" s="443" customFormat="1" ht="18" hidden="1">
      <c r="B187" s="440"/>
      <c r="C187" s="459" t="s">
        <v>1406</v>
      </c>
      <c r="D187" s="475" t="s">
        <v>1408</v>
      </c>
      <c r="E187" s="462"/>
      <c r="F187" s="487">
        <f>'FC-4_ACTIVO'!G51-'FC-4_ACTIVO'!H51</f>
        <v>0</v>
      </c>
      <c r="G187" s="558"/>
      <c r="H187" s="463"/>
      <c r="I187" s="442"/>
      <c r="K187" s="568"/>
    </row>
    <row r="188" spans="2:11" s="443" customFormat="1" ht="18" hidden="1">
      <c r="B188" s="440"/>
      <c r="C188" s="459" t="s">
        <v>1406</v>
      </c>
      <c r="D188" s="475" t="s">
        <v>1409</v>
      </c>
      <c r="E188" s="462"/>
      <c r="F188" s="487">
        <f>'FC-4_ACTIVO'!G52-'FC-4_ACTIVO'!H52</f>
        <v>0</v>
      </c>
      <c r="G188" s="558"/>
      <c r="H188" s="463"/>
      <c r="I188" s="442"/>
      <c r="K188" s="568"/>
    </row>
    <row r="189" spans="2:11" s="443" customFormat="1" ht="18" hidden="1">
      <c r="B189" s="440"/>
      <c r="C189" s="459" t="s">
        <v>1406</v>
      </c>
      <c r="D189" s="475" t="s">
        <v>1410</v>
      </c>
      <c r="E189" s="462"/>
      <c r="F189" s="487">
        <f>'FC-4_ACTIVO'!G65-'FC-4_ACTIVO'!H65</f>
        <v>7925.130000000001</v>
      </c>
      <c r="G189" s="558"/>
      <c r="H189" s="463"/>
      <c r="I189" s="442"/>
      <c r="K189" s="568"/>
    </row>
    <row r="190" spans="2:11" s="443" customFormat="1" ht="18" hidden="1">
      <c r="B190" s="440"/>
      <c r="C190" s="459" t="s">
        <v>1406</v>
      </c>
      <c r="D190" s="475" t="s">
        <v>1411</v>
      </c>
      <c r="E190" s="462"/>
      <c r="F190" s="487">
        <f>'FC-4_ACTIVO'!G91-'FC-4_ACTIVO'!H91</f>
        <v>0</v>
      </c>
      <c r="G190" s="558"/>
      <c r="H190" s="463"/>
      <c r="I190" s="442"/>
      <c r="K190" s="568"/>
    </row>
    <row r="191" spans="2:11" s="443" customFormat="1" ht="18" hidden="1">
      <c r="B191" s="440"/>
      <c r="C191" s="459" t="s">
        <v>1406</v>
      </c>
      <c r="D191" s="475" t="s">
        <v>1412</v>
      </c>
      <c r="E191" s="462"/>
      <c r="F191" s="487">
        <f>'FC-4_ACTIVO'!G92-'FC-4_ACTIVO'!H92</f>
        <v>793036.24</v>
      </c>
      <c r="G191" s="558"/>
      <c r="H191" s="463"/>
      <c r="I191" s="442"/>
      <c r="K191" s="568"/>
    </row>
    <row r="192" spans="2:11" s="443" customFormat="1" ht="18" hidden="1">
      <c r="B192" s="440"/>
      <c r="C192" s="545" t="s">
        <v>1413</v>
      </c>
      <c r="D192" s="475"/>
      <c r="E192" s="462"/>
      <c r="F192" s="543">
        <f>'FC-4_ACTIVO'!G48-'FC-4_ACTIVO'!H48</f>
        <v>34000.20000000007</v>
      </c>
      <c r="G192" s="558"/>
      <c r="H192" s="544">
        <f>F192+G192</f>
        <v>34000.20000000007</v>
      </c>
      <c r="I192" s="442"/>
      <c r="K192" s="568"/>
    </row>
    <row r="193" spans="2:11" s="443" customFormat="1" ht="18" hidden="1">
      <c r="B193" s="440"/>
      <c r="C193" s="542" t="s">
        <v>1414</v>
      </c>
      <c r="D193" s="475"/>
      <c r="E193" s="462"/>
      <c r="F193" s="543">
        <f>SUM(F194:F201)</f>
        <v>3839.2200000000048</v>
      </c>
      <c r="G193" s="543">
        <f>SUM(G194:G201)</f>
        <v>0</v>
      </c>
      <c r="H193" s="544">
        <f>F193+G193</f>
        <v>3839.2200000000048</v>
      </c>
      <c r="I193" s="442"/>
      <c r="K193" s="568"/>
    </row>
    <row r="194" spans="2:11" s="443" customFormat="1" ht="18" hidden="1">
      <c r="B194" s="440"/>
      <c r="C194" s="459" t="s">
        <v>1415</v>
      </c>
      <c r="D194" s="475" t="s">
        <v>1416</v>
      </c>
      <c r="E194" s="462"/>
      <c r="F194" s="487">
        <f>'FC-4_PASIVO'!H44-'FC-4_PASIVO'!G44</f>
        <v>0</v>
      </c>
      <c r="G194" s="543"/>
      <c r="H194" s="544"/>
      <c r="I194" s="442"/>
      <c r="K194" s="568"/>
    </row>
    <row r="195" spans="2:11" s="443" customFormat="1" ht="18" hidden="1">
      <c r="B195" s="440"/>
      <c r="C195" s="459" t="s">
        <v>1415</v>
      </c>
      <c r="D195" s="475" t="s">
        <v>1417</v>
      </c>
      <c r="E195" s="462"/>
      <c r="F195" s="487">
        <f>'FC-9_TRANS_SUBV'!L43</f>
        <v>-197.91</v>
      </c>
      <c r="G195" s="558"/>
      <c r="H195" s="463"/>
      <c r="I195" s="442"/>
      <c r="K195" s="568"/>
    </row>
    <row r="196" spans="2:11" s="443" customFormat="1" ht="18" hidden="1">
      <c r="B196" s="440"/>
      <c r="C196" s="459" t="s">
        <v>1415</v>
      </c>
      <c r="D196" s="475" t="s">
        <v>1418</v>
      </c>
      <c r="E196" s="462"/>
      <c r="F196" s="487">
        <f>'FC-4_PASIVO'!H61-'FC-4_PASIVO'!G61</f>
        <v>0</v>
      </c>
      <c r="G196" s="558"/>
      <c r="H196" s="463"/>
      <c r="I196" s="442"/>
      <c r="K196" s="568"/>
    </row>
    <row r="197" spans="2:11" s="443" customFormat="1" ht="18" hidden="1">
      <c r="B197" s="440"/>
      <c r="C197" s="459" t="s">
        <v>1415</v>
      </c>
      <c r="D197" s="475" t="s">
        <v>1419</v>
      </c>
      <c r="E197" s="462"/>
      <c r="F197" s="487">
        <f>'FC-4_PASIVO'!H79-'FC-4_PASIVO'!G79</f>
        <v>4037.1300000000047</v>
      </c>
      <c r="G197" s="558"/>
      <c r="H197" s="463"/>
      <c r="I197" s="442"/>
      <c r="K197" s="568"/>
    </row>
    <row r="198" spans="2:11" s="443" customFormat="1" ht="18" hidden="1">
      <c r="B198" s="440"/>
      <c r="C198" s="459" t="s">
        <v>1415</v>
      </c>
      <c r="D198" s="475" t="s">
        <v>1420</v>
      </c>
      <c r="E198" s="462"/>
      <c r="F198" s="487">
        <f>'FC-4_PASIVO'!H67-'FC-4_PASIVO'!G67</f>
        <v>0</v>
      </c>
      <c r="G198" s="558"/>
      <c r="H198" s="463"/>
      <c r="I198" s="442"/>
      <c r="K198" s="568"/>
    </row>
    <row r="199" spans="2:11" s="443" customFormat="1" ht="18" hidden="1">
      <c r="B199" s="440"/>
      <c r="C199" s="459" t="s">
        <v>1415</v>
      </c>
      <c r="D199" s="475" t="s">
        <v>1421</v>
      </c>
      <c r="E199" s="462"/>
      <c r="F199" s="487">
        <f>'FC-4_PASIVO'!H91-'FC-4_PASIVO'!G91</f>
        <v>0</v>
      </c>
      <c r="G199" s="558"/>
      <c r="H199" s="463"/>
      <c r="I199" s="442"/>
      <c r="K199" s="568"/>
    </row>
    <row r="200" spans="2:11" s="443" customFormat="1" ht="18" hidden="1">
      <c r="B200" s="440"/>
      <c r="C200" s="459" t="s">
        <v>1415</v>
      </c>
      <c r="D200" s="475" t="s">
        <v>1422</v>
      </c>
      <c r="E200" s="462"/>
      <c r="F200" s="487">
        <f>'FC-4_PASIVO'!H62-'FC-4_PASIVO'!G62</f>
        <v>0</v>
      </c>
      <c r="G200" s="558"/>
      <c r="H200" s="463"/>
      <c r="I200" s="442"/>
      <c r="K200" s="568"/>
    </row>
    <row r="201" spans="2:11" s="443" customFormat="1" ht="18" hidden="1">
      <c r="B201" s="440"/>
      <c r="C201" s="459" t="s">
        <v>1415</v>
      </c>
      <c r="D201" s="475" t="s">
        <v>1423</v>
      </c>
      <c r="E201" s="462"/>
      <c r="F201" s="487"/>
      <c r="G201" s="558">
        <v>0</v>
      </c>
      <c r="H201" s="463"/>
      <c r="I201" s="442"/>
      <c r="K201" s="568"/>
    </row>
    <row r="202" spans="2:11" s="443" customFormat="1" ht="18" hidden="1">
      <c r="B202" s="440"/>
      <c r="C202" s="542" t="s">
        <v>1424</v>
      </c>
      <c r="D202" s="475"/>
      <c r="E202" s="462"/>
      <c r="F202" s="543">
        <f>F203</f>
        <v>-19592.73</v>
      </c>
      <c r="G202" s="543">
        <f>G203</f>
        <v>0</v>
      </c>
      <c r="H202" s="544">
        <f>F202+G202</f>
        <v>-19592.73</v>
      </c>
      <c r="I202" s="442"/>
      <c r="K202" s="568"/>
    </row>
    <row r="203" spans="2:11" s="443" customFormat="1" ht="18" hidden="1">
      <c r="B203" s="440"/>
      <c r="C203" s="459" t="s">
        <v>1415</v>
      </c>
      <c r="D203" s="475" t="s">
        <v>1425</v>
      </c>
      <c r="E203" s="462"/>
      <c r="F203" s="487">
        <f>'FC-9_TRANS_SUBV'!K43</f>
        <v>-19592.73</v>
      </c>
      <c r="G203" s="487">
        <v>0</v>
      </c>
      <c r="H203" s="463"/>
      <c r="I203" s="442"/>
      <c r="K203" s="568"/>
    </row>
    <row r="204" spans="2:11" s="443" customFormat="1" ht="18" hidden="1">
      <c r="B204" s="440"/>
      <c r="C204" s="542" t="s">
        <v>1426</v>
      </c>
      <c r="D204" s="475"/>
      <c r="E204" s="462"/>
      <c r="F204" s="543">
        <f>SUM(F205:F209)</f>
        <v>0</v>
      </c>
      <c r="G204" s="543">
        <f>SUM(G205:G209)</f>
        <v>0</v>
      </c>
      <c r="H204" s="543">
        <f>SUM(F204:G204)</f>
        <v>0</v>
      </c>
      <c r="I204" s="442"/>
      <c r="K204" s="568"/>
    </row>
    <row r="205" spans="2:11" s="443" customFormat="1" ht="18" hidden="1">
      <c r="B205" s="440"/>
      <c r="C205" s="563"/>
      <c r="D205" s="564"/>
      <c r="E205" s="462"/>
      <c r="F205" s="558"/>
      <c r="G205" s="558"/>
      <c r="H205" s="463"/>
      <c r="I205" s="442"/>
      <c r="K205" s="568"/>
    </row>
    <row r="206" spans="2:11" s="443" customFormat="1" ht="18" hidden="1">
      <c r="B206" s="440"/>
      <c r="C206" s="563"/>
      <c r="D206" s="564"/>
      <c r="E206" s="462"/>
      <c r="F206" s="558"/>
      <c r="G206" s="558"/>
      <c r="H206" s="463"/>
      <c r="I206" s="442"/>
      <c r="K206" s="568"/>
    </row>
    <row r="207" spans="2:11" s="443" customFormat="1" ht="18" hidden="1">
      <c r="B207" s="440"/>
      <c r="C207" s="563"/>
      <c r="D207" s="564"/>
      <c r="E207" s="462"/>
      <c r="F207" s="558"/>
      <c r="G207" s="558"/>
      <c r="H207" s="463"/>
      <c r="I207" s="442"/>
      <c r="K207" s="568"/>
    </row>
    <row r="208" spans="2:11" s="443" customFormat="1" ht="18" hidden="1">
      <c r="B208" s="440"/>
      <c r="C208" s="565"/>
      <c r="D208" s="564"/>
      <c r="E208" s="519"/>
      <c r="F208" s="560"/>
      <c r="G208" s="560"/>
      <c r="H208" s="463"/>
      <c r="I208" s="442"/>
      <c r="K208" s="568"/>
    </row>
    <row r="209" spans="2:11" s="443" customFormat="1" ht="18.75" thickBot="1">
      <c r="B209" s="440"/>
      <c r="C209" s="566"/>
      <c r="D209" s="567"/>
      <c r="E209" s="546"/>
      <c r="F209" s="562"/>
      <c r="G209" s="562"/>
      <c r="H209" s="547"/>
      <c r="I209" s="442"/>
      <c r="K209" s="568"/>
    </row>
    <row r="210" spans="2:11" s="443" customFormat="1" ht="15">
      <c r="B210" s="440"/>
      <c r="C210" s="500"/>
      <c r="D210" s="534"/>
      <c r="E210" s="534"/>
      <c r="F210" s="534"/>
      <c r="G210" s="534"/>
      <c r="H210" s="538"/>
      <c r="I210" s="442"/>
    </row>
    <row r="211" spans="2:11" ht="15.75" thickBot="1">
      <c r="B211" s="548"/>
      <c r="C211" s="1471"/>
      <c r="D211" s="1471"/>
      <c r="E211" s="549"/>
      <c r="F211" s="549"/>
      <c r="G211" s="549"/>
      <c r="H211" s="84"/>
      <c r="I211" s="550"/>
      <c r="K211" s="443"/>
    </row>
    <row r="212" spans="2:11" ht="12.75"/>
    <row r="213" spans="2:11" ht="12.75">
      <c r="C213" s="551" t="s">
        <v>98</v>
      </c>
      <c r="H213" s="63" t="s">
        <v>1427</v>
      </c>
    </row>
    <row r="214" spans="2:11" ht="12.75">
      <c r="C214" s="551" t="s">
        <v>100</v>
      </c>
    </row>
    <row r="215" spans="2:11" ht="12.75">
      <c r="C215" s="551" t="s">
        <v>101</v>
      </c>
    </row>
    <row r="216" spans="2:11" ht="12.75">
      <c r="C216" s="551" t="s">
        <v>102</v>
      </c>
    </row>
    <row r="217" spans="2:11" ht="12.75">
      <c r="C217" s="551" t="s">
        <v>103</v>
      </c>
    </row>
    <row r="218" spans="2:11" ht="12.75"/>
    <row r="219" spans="2:11" ht="12.75"/>
    <row r="220" spans="2:11" ht="12.75"/>
    <row r="221" spans="2:11" s="437" customFormat="1" ht="20.25">
      <c r="C221" s="552" t="s">
        <v>1428</v>
      </c>
      <c r="D221" s="66"/>
      <c r="E221" s="430"/>
      <c r="F221" s="553"/>
      <c r="G221" s="553"/>
    </row>
    <row r="222" spans="2:11" ht="12.75"/>
    <row r="223" spans="2:11" ht="12.75"/>
    <row r="224" spans="2:11" ht="18.75" thickBot="1">
      <c r="C224" s="522" t="s">
        <v>1399</v>
      </c>
      <c r="D224" s="523"/>
      <c r="E224" s="524"/>
    </row>
    <row r="225" spans="3:5" ht="23.1" customHeight="1" thickTop="1">
      <c r="D225" s="66" t="s">
        <v>1429</v>
      </c>
      <c r="E225" s="430">
        <f>+E173</f>
        <v>1610573.6400000006</v>
      </c>
    </row>
    <row r="226" spans="3:5" ht="23.1" customHeight="1">
      <c r="D226" s="66" t="s">
        <v>1430</v>
      </c>
      <c r="E226" s="430">
        <f>+'FC-3_CPyG'!H101</f>
        <v>1610573.64</v>
      </c>
    </row>
    <row r="227" spans="3:5" ht="23.1" customHeight="1">
      <c r="E227" s="554" t="str">
        <f>IF(ROUND(E225-E226,2)=0,"OK","Mal, revísalo")</f>
        <v>OK</v>
      </c>
    </row>
    <row r="229" spans="3:5" ht="23.1" customHeight="1">
      <c r="D229" s="66" t="s">
        <v>1431</v>
      </c>
      <c r="E229" s="430">
        <f>+H173</f>
        <v>-1486383.6999999993</v>
      </c>
    </row>
    <row r="230" spans="3:5" ht="23.1" customHeight="1">
      <c r="D230" s="66" t="s">
        <v>1432</v>
      </c>
      <c r="E230" s="430">
        <f>+H175</f>
        <v>1486383.7</v>
      </c>
    </row>
    <row r="231" spans="3:5" ht="23.1" customHeight="1">
      <c r="E231" s="554" t="str">
        <f>IF(ROUND(E229+E230,2)=0,"OK","Revísalo")</f>
        <v>OK</v>
      </c>
    </row>
    <row r="234" spans="3:5" ht="23.1" customHeight="1" thickBot="1">
      <c r="C234" s="522" t="s">
        <v>1433</v>
      </c>
      <c r="D234" s="523"/>
      <c r="E234" s="524"/>
    </row>
    <row r="235" spans="3:5" ht="23.1" customHeight="1" thickTop="1">
      <c r="C235" s="738" t="s">
        <v>910</v>
      </c>
      <c r="D235" s="66" t="s">
        <v>1434</v>
      </c>
      <c r="E235" s="430">
        <f>'FC-9_TRANS_SUBV'!N41</f>
        <v>0</v>
      </c>
    </row>
    <row r="236" spans="3:5" ht="23.1" customHeight="1">
      <c r="C236" s="738" t="s">
        <v>910</v>
      </c>
      <c r="D236" s="66" t="s">
        <v>1435</v>
      </c>
      <c r="E236" s="430">
        <f>'FC-9_TRANS_SUBV'!J74</f>
        <v>0</v>
      </c>
    </row>
    <row r="237" spans="3:5" ht="23.1" customHeight="1">
      <c r="C237" s="738" t="s">
        <v>910</v>
      </c>
      <c r="D237" s="66" t="s">
        <v>1436</v>
      </c>
      <c r="E237" s="430">
        <f>'FC-9_TRANS_SUBV'!N91</f>
        <v>0</v>
      </c>
    </row>
    <row r="238" spans="3:5" ht="23.1" customHeight="1" thickBot="1">
      <c r="D238" s="439" t="s">
        <v>1437</v>
      </c>
      <c r="E238" s="739">
        <f>SUM(E235:E237)</f>
        <v>0</v>
      </c>
    </row>
    <row r="239" spans="3:5" ht="23.1" customHeight="1">
      <c r="E239" s="554"/>
    </row>
    <row r="240" spans="3:5" ht="23.1" customHeight="1">
      <c r="C240" s="439" t="s">
        <v>1438</v>
      </c>
    </row>
    <row r="241" spans="3:6" ht="23.1" customHeight="1">
      <c r="C241" s="740" t="s">
        <v>527</v>
      </c>
      <c r="D241" s="66" t="s">
        <v>1272</v>
      </c>
      <c r="E241" s="430">
        <f>H26</f>
        <v>0</v>
      </c>
    </row>
    <row r="242" spans="3:6" ht="23.1" customHeight="1">
      <c r="C242" s="740" t="s">
        <v>540</v>
      </c>
      <c r="D242" s="66" t="s">
        <v>1276</v>
      </c>
      <c r="E242" s="430">
        <f>H47</f>
        <v>0</v>
      </c>
    </row>
    <row r="243" spans="3:6" ht="23.1" customHeight="1">
      <c r="C243" s="740" t="s">
        <v>595</v>
      </c>
      <c r="D243" s="66" t="s">
        <v>1439</v>
      </c>
      <c r="E243" s="430">
        <f>H67+H68+H69</f>
        <v>0</v>
      </c>
      <c r="F243" s="741" t="str">
        <f>IF(ROUND(E243-E244-E245,2)=0,"Ok","Revísalo")</f>
        <v>Ok</v>
      </c>
    </row>
    <row r="244" spans="3:6" ht="23.1" customHeight="1">
      <c r="C244" s="740"/>
      <c r="D244" s="742" t="s">
        <v>1440</v>
      </c>
      <c r="E244" s="865">
        <f>'FC-9_1_SUBV_REINT'!N61</f>
        <v>0</v>
      </c>
      <c r="F244" s="66"/>
    </row>
    <row r="245" spans="3:6" ht="23.1" customHeight="1">
      <c r="C245" s="740"/>
      <c r="D245" s="742" t="s">
        <v>1441</v>
      </c>
      <c r="E245" s="865">
        <f>'FC-9_1_SUBV_REINT'!N64</f>
        <v>0</v>
      </c>
      <c r="F245" s="66"/>
    </row>
    <row r="246" spans="3:6" ht="23.1" customHeight="1" thickBot="1">
      <c r="E246" s="739">
        <f>SUM(E241:E243)</f>
        <v>0</v>
      </c>
      <c r="F246" s="66"/>
    </row>
    <row r="247" spans="3:6" ht="23.1" customHeight="1">
      <c r="E247" s="554" t="str">
        <f>IF(ROUND(E238,2)-ROUND(E246,2)=0,"Ok","Revísalo")</f>
        <v>Ok</v>
      </c>
      <c r="F247" s="66"/>
    </row>
    <row r="248" spans="3:6" ht="23.1" customHeight="1">
      <c r="E248" s="66"/>
      <c r="F248" s="66"/>
    </row>
  </sheetData>
  <sheetProtection sheet="1" scenarios="1" selectLockedCells="1" selectUnlockedCells="1"/>
  <mergeCells count="21">
    <mergeCell ref="C52:D52"/>
    <mergeCell ref="H6:H7"/>
    <mergeCell ref="D9:H9"/>
    <mergeCell ref="C14:D14"/>
    <mergeCell ref="C41:D41"/>
    <mergeCell ref="C152:D152"/>
    <mergeCell ref="C157:D157"/>
    <mergeCell ref="C175:D175"/>
    <mergeCell ref="F176:F178"/>
    <mergeCell ref="H176:H178"/>
    <mergeCell ref="G176:G178"/>
    <mergeCell ref="C211:D211"/>
    <mergeCell ref="C171:D171"/>
    <mergeCell ref="C74:D74"/>
    <mergeCell ref="C76:D76"/>
    <mergeCell ref="C78:D78"/>
    <mergeCell ref="C89:D89"/>
    <mergeCell ref="C92:D92"/>
    <mergeCell ref="C122:D122"/>
    <mergeCell ref="C133:D133"/>
    <mergeCell ref="C150:D150"/>
  </mergeCells>
  <pageMargins left="0.75" right="0.75" top="1" bottom="1" header="0.5" footer="0.5"/>
  <pageSetup paperSize="9" orientation="portrait" horizontalDpi="4294967292" verticalDpi="4294967292"/>
  <drawing r:id="rId1"/>
</worksheet>
</file>

<file path=xl/worksheets/sheet2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831EF86-4D8C-4AE8-BB68-D6FFC20078AB}">
  <sheetPr>
    <tabColor rgb="FFFF0000"/>
  </sheetPr>
  <dimension ref="A2:T67"/>
  <sheetViews>
    <sheetView topLeftCell="A16" zoomScale="184" workbookViewId="0">
      <selection activeCell="E19" sqref="E19"/>
    </sheetView>
  </sheetViews>
  <sheetFormatPr baseColWidth="10" defaultColWidth="10.6640625" defaultRowHeight="23.1" customHeight="1"/>
  <cols>
    <col min="1" max="1" width="3" style="185" customWidth="1"/>
    <col min="2" max="2" width="3.109375" style="185" customWidth="1"/>
    <col min="3" max="3" width="12.109375" style="185" customWidth="1"/>
    <col min="4" max="4" width="75" style="185" customWidth="1"/>
    <col min="5" max="5" width="18" style="185" customWidth="1"/>
    <col min="6" max="6" width="3.5546875" style="185" customWidth="1"/>
    <col min="7" max="7" width="10.6640625" style="185"/>
    <col min="8" max="14" width="11.33203125" style="185" customWidth="1"/>
    <col min="15" max="16384" width="10.6640625" style="185"/>
  </cols>
  <sheetData>
    <row r="2" spans="1:20" ht="23.1" customHeight="1">
      <c r="A2" s="412"/>
      <c r="B2" s="412"/>
      <c r="C2" s="412"/>
      <c r="D2" s="391" t="str">
        <f>_GENERAL!D2</f>
        <v>Área de la Presidenta: Igualdad y Diversidad, Hacienda y Proyectos Estratégicos</v>
      </c>
      <c r="E2" s="412"/>
      <c r="F2" s="412"/>
      <c r="G2" s="412"/>
      <c r="H2" s="412"/>
      <c r="I2" s="412"/>
      <c r="J2" s="412"/>
      <c r="K2" s="412"/>
      <c r="L2" s="412"/>
      <c r="M2" s="412"/>
      <c r="N2" s="412"/>
      <c r="O2" s="412"/>
      <c r="P2" s="412"/>
      <c r="Q2" s="412"/>
      <c r="R2" s="412"/>
      <c r="S2" s="412"/>
      <c r="T2" s="412"/>
    </row>
    <row r="3" spans="1:20" ht="23.1" customHeight="1">
      <c r="A3" s="412"/>
      <c r="B3" s="412"/>
      <c r="C3" s="412"/>
      <c r="D3" s="391" t="str">
        <f>_GENERAL!D3</f>
        <v>Dirección Insular de Hacienda</v>
      </c>
      <c r="E3" s="412"/>
      <c r="F3" s="412"/>
      <c r="G3" s="412"/>
      <c r="H3" s="412"/>
      <c r="I3" s="412"/>
      <c r="J3" s="412"/>
      <c r="K3" s="412"/>
      <c r="L3" s="412"/>
      <c r="M3" s="412"/>
      <c r="N3" s="412"/>
      <c r="O3" s="412"/>
      <c r="P3" s="412"/>
      <c r="Q3" s="412"/>
      <c r="R3" s="412"/>
      <c r="S3" s="412"/>
      <c r="T3" s="412"/>
    </row>
    <row r="4" spans="1:20" ht="23.1" customHeight="1" thickBot="1">
      <c r="A4" s="412"/>
      <c r="B4" s="412"/>
      <c r="C4" s="412"/>
      <c r="D4" s="412"/>
      <c r="E4" s="412"/>
      <c r="F4" s="412"/>
      <c r="G4" s="412"/>
      <c r="H4" s="412"/>
      <c r="I4" s="412"/>
      <c r="J4" s="412"/>
      <c r="K4" s="412"/>
      <c r="L4" s="412"/>
      <c r="M4" s="412"/>
      <c r="N4" s="412"/>
      <c r="O4" s="412"/>
      <c r="P4" s="412"/>
      <c r="Q4" s="412"/>
      <c r="R4" s="412"/>
      <c r="S4" s="412"/>
      <c r="T4" s="412"/>
    </row>
    <row r="5" spans="1:20" ht="9" customHeight="1">
      <c r="A5" s="412"/>
      <c r="B5" s="376" t="s">
        <v>104</v>
      </c>
      <c r="C5" s="872"/>
      <c r="D5" s="872"/>
      <c r="E5" s="872"/>
      <c r="F5" s="873"/>
      <c r="G5" s="412"/>
      <c r="H5" s="412"/>
      <c r="I5" s="412"/>
      <c r="J5" s="412"/>
      <c r="K5" s="412"/>
      <c r="L5" s="412"/>
      <c r="M5" s="412"/>
      <c r="N5" s="412"/>
      <c r="O5" s="412"/>
      <c r="P5" s="412"/>
      <c r="Q5" s="412"/>
      <c r="R5" s="412"/>
      <c r="S5" s="412"/>
      <c r="T5" s="412"/>
    </row>
    <row r="6" spans="1:20" ht="30" customHeight="1">
      <c r="A6" s="412"/>
      <c r="B6" s="874"/>
      <c r="C6" s="1" t="s">
        <v>2</v>
      </c>
      <c r="D6" s="9"/>
      <c r="E6" s="1212">
        <f>ejercicio</f>
        <v>2025</v>
      </c>
      <c r="F6" s="875"/>
      <c r="G6" s="412"/>
      <c r="H6" s="412"/>
      <c r="I6" s="412"/>
      <c r="J6" s="412"/>
      <c r="K6" s="412"/>
      <c r="L6" s="412"/>
      <c r="M6" s="412"/>
      <c r="N6" s="412"/>
      <c r="O6" s="412"/>
      <c r="P6" s="412"/>
      <c r="Q6" s="412"/>
      <c r="R6" s="412"/>
      <c r="S6" s="412"/>
      <c r="T6" s="412"/>
    </row>
    <row r="7" spans="1:20" ht="30" customHeight="1">
      <c r="A7" s="412"/>
      <c r="B7" s="874"/>
      <c r="C7" s="1" t="s">
        <v>3</v>
      </c>
      <c r="D7" s="412"/>
      <c r="E7" s="1212">
        <v>2018</v>
      </c>
      <c r="F7" s="875"/>
      <c r="G7" s="412"/>
      <c r="H7" s="1"/>
      <c r="I7" s="1"/>
      <c r="J7" s="1"/>
      <c r="K7" s="1"/>
      <c r="L7" s="1"/>
      <c r="M7" s="1"/>
      <c r="N7" s="1"/>
      <c r="O7" s="1"/>
      <c r="P7" s="1"/>
      <c r="Q7" s="1"/>
      <c r="R7" s="1"/>
      <c r="S7" s="1"/>
      <c r="T7" s="1"/>
    </row>
    <row r="8" spans="1:20" ht="30" customHeight="1">
      <c r="A8" s="412"/>
      <c r="B8" s="874"/>
      <c r="C8" s="412"/>
      <c r="D8" s="412"/>
      <c r="E8" s="7"/>
      <c r="F8" s="875"/>
      <c r="G8" s="412"/>
      <c r="H8" s="412"/>
      <c r="I8" s="412"/>
      <c r="J8" s="412"/>
      <c r="K8" s="412"/>
      <c r="L8" s="412"/>
      <c r="M8" s="412"/>
      <c r="N8" s="412"/>
      <c r="O8" s="412"/>
      <c r="P8" s="412"/>
      <c r="Q8" s="412"/>
      <c r="R8" s="412"/>
      <c r="S8" s="412"/>
      <c r="T8" s="412"/>
    </row>
    <row r="9" spans="1:20" ht="30" customHeight="1">
      <c r="A9" s="412"/>
      <c r="B9" s="874"/>
      <c r="C9" s="20" t="s">
        <v>105</v>
      </c>
      <c r="D9" s="1220" t="str">
        <f>Entidad</f>
        <v>(MERCATENERIFE) Mercados Centrales de Abastecimiento de Tenerife, S.A.</v>
      </c>
      <c r="E9" s="1220"/>
      <c r="F9" s="875"/>
      <c r="G9" s="412"/>
      <c r="H9" s="412"/>
      <c r="I9" s="412"/>
      <c r="J9" s="412"/>
      <c r="K9" s="412"/>
      <c r="L9" s="412"/>
      <c r="M9" s="412"/>
      <c r="N9" s="412"/>
      <c r="O9" s="412"/>
      <c r="P9" s="412"/>
      <c r="Q9" s="412"/>
      <c r="R9" s="412"/>
      <c r="S9" s="412"/>
      <c r="T9" s="412"/>
    </row>
    <row r="10" spans="1:20" ht="6.95" customHeight="1">
      <c r="A10" s="412"/>
      <c r="B10" s="874"/>
      <c r="C10" s="412"/>
      <c r="D10" s="412"/>
      <c r="E10" s="876"/>
      <c r="F10" s="875"/>
      <c r="G10" s="412"/>
      <c r="H10" s="412"/>
      <c r="I10" s="412"/>
      <c r="J10" s="412"/>
      <c r="K10" s="412"/>
      <c r="L10" s="412"/>
      <c r="M10" s="412"/>
      <c r="N10" s="412"/>
      <c r="O10" s="412"/>
      <c r="P10" s="412"/>
      <c r="Q10" s="412"/>
      <c r="R10" s="412"/>
      <c r="S10" s="412"/>
      <c r="T10" s="412"/>
    </row>
    <row r="11" spans="1:20" s="1" customFormat="1" ht="30" customHeight="1">
      <c r="B11" s="10"/>
      <c r="C11" s="374" t="s">
        <v>1442</v>
      </c>
      <c r="D11" s="375"/>
      <c r="E11" s="375"/>
      <c r="F11" s="11"/>
      <c r="H11" s="412"/>
      <c r="I11" s="412"/>
      <c r="J11" s="412"/>
      <c r="K11" s="412"/>
      <c r="L11" s="412"/>
      <c r="M11" s="412"/>
      <c r="N11" s="412"/>
      <c r="O11" s="412"/>
      <c r="P11" s="412"/>
      <c r="Q11" s="412"/>
      <c r="R11" s="412"/>
      <c r="S11" s="412"/>
      <c r="T11" s="412"/>
    </row>
    <row r="12" spans="1:20" ht="23.1" customHeight="1">
      <c r="A12" s="412"/>
      <c r="B12" s="874"/>
      <c r="C12" s="412"/>
      <c r="D12" s="412"/>
      <c r="E12" s="412"/>
      <c r="F12" s="875"/>
      <c r="G12" s="412"/>
      <c r="H12" s="412"/>
      <c r="I12" s="412"/>
      <c r="J12" s="412"/>
      <c r="K12" s="412"/>
      <c r="L12" s="412"/>
      <c r="M12" s="412"/>
      <c r="N12" s="412"/>
      <c r="O12" s="412"/>
      <c r="P12" s="412"/>
      <c r="Q12" s="412"/>
      <c r="R12" s="412"/>
      <c r="S12" s="412"/>
      <c r="T12" s="412"/>
    </row>
    <row r="13" spans="1:20" ht="23.1" customHeight="1">
      <c r="A13" s="412"/>
      <c r="B13" s="874"/>
      <c r="C13" s="412"/>
      <c r="D13" s="412"/>
      <c r="E13" s="371" t="s">
        <v>110</v>
      </c>
      <c r="F13" s="875"/>
      <c r="G13" s="412"/>
      <c r="H13" s="412"/>
      <c r="I13" s="412"/>
      <c r="J13" s="412"/>
      <c r="K13" s="412"/>
      <c r="L13" s="412"/>
      <c r="M13" s="412"/>
      <c r="N13" s="412"/>
      <c r="O13" s="412"/>
      <c r="P13" s="412"/>
      <c r="Q13" s="412"/>
      <c r="R13" s="412"/>
      <c r="S13" s="412"/>
      <c r="T13" s="412"/>
    </row>
    <row r="14" spans="1:20" ht="23.1" customHeight="1" thickBot="1">
      <c r="A14" s="412"/>
      <c r="B14" s="874"/>
      <c r="C14" s="412"/>
      <c r="D14" s="412"/>
      <c r="E14" s="372">
        <f>ejercicio</f>
        <v>2025</v>
      </c>
      <c r="F14" s="875"/>
      <c r="G14" s="412"/>
      <c r="H14" s="412"/>
      <c r="I14" s="412"/>
      <c r="J14" s="412"/>
      <c r="K14" s="412"/>
      <c r="L14" s="412"/>
      <c r="M14" s="412"/>
      <c r="N14" s="412"/>
      <c r="O14" s="412"/>
      <c r="P14" s="412"/>
      <c r="Q14" s="412"/>
      <c r="R14" s="412"/>
      <c r="S14" s="412"/>
      <c r="T14" s="412"/>
    </row>
    <row r="15" spans="1:20" s="1" customFormat="1" ht="30" customHeight="1">
      <c r="B15" s="818"/>
      <c r="C15" s="1173" t="s">
        <v>1443</v>
      </c>
      <c r="D15" s="1173"/>
      <c r="E15" s="1172">
        <f>'FC-4_1_MOV_FP'!I62</f>
        <v>1000000</v>
      </c>
      <c r="F15" s="11"/>
    </row>
    <row r="16" spans="1:20" ht="30" customHeight="1">
      <c r="A16" s="412"/>
      <c r="B16" s="818"/>
      <c r="C16" s="708" t="s">
        <v>1444</v>
      </c>
      <c r="D16" s="708"/>
      <c r="E16" s="1171">
        <f>'FC-4_1_MOV_FP'!I63</f>
        <v>424200</v>
      </c>
      <c r="F16" s="11"/>
      <c r="G16" s="412"/>
      <c r="H16" s="412"/>
      <c r="I16" s="412"/>
      <c r="J16" s="412"/>
      <c r="K16" s="412"/>
      <c r="L16" s="412"/>
      <c r="M16" s="412"/>
      <c r="N16" s="412"/>
      <c r="O16" s="412"/>
      <c r="P16" s="412"/>
      <c r="Q16" s="412"/>
      <c r="R16" s="412"/>
      <c r="S16" s="412"/>
      <c r="T16" s="412"/>
    </row>
    <row r="17" spans="1:20" ht="30" customHeight="1">
      <c r="A17" s="412"/>
      <c r="B17" s="818"/>
      <c r="C17" s="708" t="s">
        <v>1445</v>
      </c>
      <c r="D17" s="708"/>
      <c r="E17" s="1171">
        <f>'FC-4_1_MOV_FP'!I64</f>
        <v>407824.95697678498</v>
      </c>
      <c r="F17" s="11"/>
      <c r="G17" s="412"/>
      <c r="H17" s="412"/>
      <c r="I17" s="412"/>
      <c r="J17" s="412"/>
      <c r="K17" s="412"/>
      <c r="L17" s="412"/>
      <c r="M17" s="412"/>
      <c r="N17" s="412"/>
      <c r="O17" s="412"/>
      <c r="P17" s="412"/>
      <c r="Q17" s="412"/>
      <c r="R17" s="412"/>
      <c r="S17" s="412"/>
      <c r="T17" s="412"/>
    </row>
    <row r="18" spans="1:20" ht="30" customHeight="1">
      <c r="A18" s="412"/>
      <c r="B18" s="818"/>
      <c r="C18" s="708" t="s">
        <v>1446</v>
      </c>
      <c r="D18" s="708"/>
      <c r="E18" s="1171">
        <f>'FC-4_1_MOV_FP'!I65</f>
        <v>167975.04302321497</v>
      </c>
      <c r="F18" s="11"/>
      <c r="G18" s="412"/>
      <c r="H18" s="412"/>
      <c r="I18" s="412"/>
      <c r="J18" s="412"/>
      <c r="K18" s="412"/>
      <c r="L18" s="412"/>
      <c r="M18" s="412"/>
      <c r="N18" s="412"/>
      <c r="O18" s="412"/>
      <c r="P18" s="412"/>
      <c r="Q18" s="412"/>
      <c r="R18" s="412"/>
      <c r="S18" s="412"/>
      <c r="T18" s="412"/>
    </row>
    <row r="19" spans="1:20" ht="30" customHeight="1">
      <c r="A19" s="412"/>
      <c r="B19" s="874"/>
      <c r="C19" s="708" t="s">
        <v>1447</v>
      </c>
      <c r="D19" s="708"/>
      <c r="E19" s="1171">
        <f>'FC-3_1_INF_ADIC_CPyG'!E77</f>
        <v>0</v>
      </c>
      <c r="F19" s="875"/>
      <c r="G19" s="412"/>
      <c r="H19" s="412"/>
      <c r="I19" s="412"/>
      <c r="J19" s="412"/>
      <c r="K19" s="412"/>
      <c r="L19" s="412"/>
      <c r="M19" s="412"/>
      <c r="N19" s="412"/>
      <c r="O19" s="412"/>
      <c r="P19" s="412"/>
      <c r="Q19" s="412"/>
      <c r="R19" s="412"/>
      <c r="S19" s="412"/>
      <c r="T19" s="412"/>
    </row>
    <row r="20" spans="1:20" ht="30" customHeight="1">
      <c r="A20" s="412"/>
      <c r="B20" s="874"/>
      <c r="C20" s="708" t="str">
        <f>"Las inversiones previstas en el ejerc. "&amp;ejercicio&amp;" (FC-6) coinciden con las aportaciones no reintegrables (FC-9)"</f>
        <v>Las inversiones previstas en el ejerc. 2025 (FC-6) coinciden con las aportaciones no reintegrables (FC-9)</v>
      </c>
      <c r="D20" s="708"/>
      <c r="E20" s="882" t="str">
        <f>IF(ROUND('FC-6_Inversiones'!I46,2)=ROUND('FC-9_TRANS_SUBV'!J41,2),"Ok","Mal")</f>
        <v>Mal</v>
      </c>
      <c r="F20" s="875"/>
      <c r="G20" s="412"/>
      <c r="H20" s="412"/>
      <c r="I20" s="412"/>
      <c r="J20" s="412"/>
      <c r="K20" s="412"/>
      <c r="L20" s="412"/>
      <c r="M20" s="412"/>
      <c r="N20" s="412"/>
      <c r="O20" s="412"/>
      <c r="P20" s="412"/>
      <c r="Q20" s="412"/>
      <c r="R20" s="412"/>
      <c r="S20" s="412"/>
      <c r="T20" s="412"/>
    </row>
    <row r="21" spans="1:20" ht="30" customHeight="1">
      <c r="A21" s="412"/>
      <c r="B21" s="874"/>
      <c r="C21" s="708" t="str">
        <f>"       Las inversiones previstas en el ejerc. "&amp;ejercicio&amp;" (FC-6) ascienden a:"</f>
        <v xml:space="preserve">       Las inversiones previstas en el ejerc. 2025 (FC-6) ascienden a:</v>
      </c>
      <c r="D21" s="708"/>
      <c r="E21" s="1171">
        <f>ROUND('FC-6_Inversiones'!I46,2)</f>
        <v>4612000</v>
      </c>
      <c r="F21" s="875"/>
      <c r="G21" s="412"/>
      <c r="H21" s="412"/>
      <c r="I21" s="412"/>
      <c r="J21" s="412"/>
      <c r="K21" s="412"/>
      <c r="L21" s="412"/>
      <c r="M21" s="412"/>
      <c r="N21" s="412"/>
      <c r="O21" s="412"/>
      <c r="P21" s="412"/>
      <c r="Q21" s="412"/>
      <c r="R21" s="412"/>
      <c r="S21" s="412"/>
      <c r="T21" s="412"/>
    </row>
    <row r="22" spans="1:20" ht="30" customHeight="1">
      <c r="A22" s="412"/>
      <c r="B22" s="874"/>
      <c r="C22" s="708" t="str">
        <f>"       Las aportaciones no reintegrables de capital previstas en el ejerc. "&amp;ejercicio&amp;" (FC-9) ascienden a:"</f>
        <v xml:space="preserve">       Las aportaciones no reintegrables de capital previstas en el ejerc. 2025 (FC-9) ascienden a:</v>
      </c>
      <c r="D22" s="708"/>
      <c r="E22" s="1171">
        <f>ROUND('FC-9_TRANS_SUBV'!J41,2)</f>
        <v>0</v>
      </c>
      <c r="F22" s="875"/>
      <c r="G22" s="412"/>
      <c r="H22" s="412"/>
      <c r="I22" s="412"/>
      <c r="J22" s="412"/>
      <c r="K22" s="412"/>
      <c r="L22" s="412"/>
      <c r="M22" s="412"/>
      <c r="N22" s="412"/>
      <c r="O22" s="412"/>
      <c r="P22" s="412"/>
      <c r="Q22" s="412"/>
      <c r="R22" s="412"/>
      <c r="S22" s="412"/>
      <c r="T22" s="412"/>
    </row>
    <row r="23" spans="1:20" ht="23.1" customHeight="1" thickBot="1">
      <c r="A23" s="412"/>
      <c r="B23" s="879"/>
      <c r="C23" s="880"/>
      <c r="D23" s="880"/>
      <c r="E23" s="889"/>
      <c r="F23" s="881"/>
      <c r="G23" s="412"/>
      <c r="H23" s="412"/>
      <c r="I23" s="23"/>
      <c r="J23" s="23"/>
      <c r="K23" s="23"/>
      <c r="L23" s="23"/>
      <c r="M23" s="23"/>
      <c r="N23" s="23"/>
      <c r="O23" s="23"/>
      <c r="P23" s="23"/>
      <c r="Q23" s="23"/>
      <c r="R23" s="23"/>
      <c r="S23" s="23"/>
      <c r="T23" s="23"/>
    </row>
    <row r="24" spans="1:20" s="23" customFormat="1" ht="15">
      <c r="B24" s="412"/>
      <c r="C24" s="412"/>
      <c r="D24" s="412"/>
      <c r="E24" s="412"/>
      <c r="F24" s="412"/>
      <c r="G24" s="412"/>
      <c r="H24" s="412"/>
    </row>
    <row r="25" spans="1:20" s="23" customFormat="1" ht="15">
      <c r="C25" s="19" t="s">
        <v>98</v>
      </c>
      <c r="E25" s="22"/>
      <c r="G25" s="412"/>
      <c r="H25" s="412"/>
      <c r="I25" s="412"/>
      <c r="J25" s="412"/>
      <c r="K25" s="412"/>
      <c r="L25" s="412"/>
      <c r="M25" s="412"/>
      <c r="N25" s="412"/>
      <c r="O25" s="412"/>
      <c r="P25" s="412"/>
      <c r="Q25" s="412"/>
      <c r="R25" s="412"/>
      <c r="S25" s="412"/>
      <c r="T25" s="412"/>
    </row>
    <row r="26" spans="1:20" s="23" customFormat="1" ht="15">
      <c r="C26" s="19" t="s">
        <v>100</v>
      </c>
      <c r="G26" s="412"/>
      <c r="H26" s="412"/>
      <c r="I26" s="412"/>
      <c r="J26" s="412"/>
      <c r="K26" s="412"/>
      <c r="L26" s="412"/>
      <c r="M26" s="412"/>
      <c r="N26" s="412"/>
      <c r="O26" s="412"/>
      <c r="P26" s="412"/>
      <c r="Q26" s="412"/>
      <c r="R26" s="412"/>
      <c r="S26" s="412"/>
      <c r="T26" s="412"/>
    </row>
    <row r="27" spans="1:20" s="23" customFormat="1" ht="15">
      <c r="C27" s="19" t="s">
        <v>101</v>
      </c>
      <c r="G27" s="412"/>
      <c r="H27" s="412"/>
      <c r="I27" s="412"/>
      <c r="J27" s="412"/>
      <c r="K27" s="412"/>
      <c r="L27" s="412"/>
      <c r="M27" s="412"/>
      <c r="N27" s="412"/>
      <c r="O27" s="412"/>
      <c r="P27" s="412"/>
      <c r="Q27" s="412"/>
      <c r="R27" s="412"/>
      <c r="S27" s="412"/>
      <c r="T27" s="412"/>
    </row>
    <row r="28" spans="1:20" s="23" customFormat="1" ht="15">
      <c r="C28" s="19" t="s">
        <v>102</v>
      </c>
      <c r="G28" s="412"/>
      <c r="H28" s="412"/>
      <c r="I28" s="412"/>
      <c r="J28" s="412"/>
      <c r="K28" s="412"/>
      <c r="L28" s="412"/>
      <c r="M28" s="412"/>
      <c r="N28" s="412"/>
      <c r="O28" s="412"/>
      <c r="P28" s="412"/>
      <c r="Q28" s="412"/>
      <c r="R28" s="412"/>
      <c r="S28" s="412"/>
      <c r="T28" s="412"/>
    </row>
    <row r="29" spans="1:20" ht="23.1" customHeight="1">
      <c r="A29" s="412"/>
      <c r="B29" s="23"/>
      <c r="C29" s="19" t="s">
        <v>103</v>
      </c>
      <c r="D29" s="23"/>
      <c r="E29" s="23"/>
      <c r="F29" s="23"/>
      <c r="G29" s="412"/>
      <c r="H29" s="412"/>
      <c r="I29" s="412"/>
      <c r="J29" s="412"/>
      <c r="K29" s="412"/>
      <c r="L29" s="412"/>
      <c r="M29" s="412"/>
      <c r="N29" s="412"/>
      <c r="O29" s="412"/>
      <c r="P29" s="412"/>
      <c r="Q29" s="412"/>
      <c r="R29" s="412"/>
      <c r="S29" s="412"/>
      <c r="T29" s="412"/>
    </row>
    <row r="30" spans="1:20" ht="23.1" customHeight="1">
      <c r="A30" s="412"/>
      <c r="B30" s="412"/>
      <c r="C30" s="412"/>
      <c r="D30" s="412"/>
      <c r="E30" s="412"/>
      <c r="F30" s="412"/>
      <c r="G30" s="412"/>
      <c r="H30" s="412"/>
      <c r="I30" s="412"/>
      <c r="J30" s="412"/>
      <c r="K30" s="412"/>
      <c r="L30" s="412"/>
      <c r="M30" s="412"/>
      <c r="N30" s="412"/>
      <c r="O30" s="412"/>
      <c r="P30" s="412"/>
      <c r="Q30" s="412"/>
      <c r="R30" s="412"/>
      <c r="S30" s="412"/>
      <c r="T30" s="412"/>
    </row>
    <row r="31" spans="1:20" ht="23.1" customHeight="1">
      <c r="A31" s="412"/>
      <c r="B31" s="412"/>
      <c r="C31" s="412"/>
      <c r="D31" s="412"/>
      <c r="E31" s="412"/>
      <c r="F31" s="412"/>
      <c r="G31" s="412"/>
      <c r="H31" s="412"/>
      <c r="I31" s="412"/>
      <c r="J31" s="412"/>
      <c r="K31" s="412"/>
      <c r="L31" s="412"/>
      <c r="M31" s="412"/>
      <c r="N31" s="412"/>
      <c r="O31" s="412"/>
      <c r="P31" s="412"/>
      <c r="Q31" s="412"/>
      <c r="R31" s="412"/>
      <c r="S31" s="412"/>
      <c r="T31" s="412"/>
    </row>
    <row r="32" spans="1:20" ht="23.1" customHeight="1">
      <c r="A32" s="412"/>
      <c r="B32" s="412"/>
      <c r="C32" s="412"/>
      <c r="D32" s="412"/>
      <c r="E32" s="412"/>
      <c r="F32" s="412"/>
      <c r="G32" s="412"/>
      <c r="H32" s="412"/>
      <c r="I32" s="412"/>
      <c r="J32" s="412"/>
      <c r="K32" s="412"/>
      <c r="L32" s="412"/>
      <c r="M32" s="412"/>
      <c r="N32" s="412"/>
      <c r="O32" s="412"/>
      <c r="P32" s="412"/>
      <c r="Q32" s="412"/>
      <c r="R32" s="412"/>
      <c r="S32" s="412"/>
      <c r="T32" s="412"/>
    </row>
    <row r="33" spans="1:20" ht="23.1" customHeight="1">
      <c r="A33" s="412"/>
      <c r="B33" s="412"/>
      <c r="C33" s="412"/>
      <c r="D33" s="412"/>
      <c r="E33" s="412"/>
      <c r="F33" s="412"/>
      <c r="G33" s="412"/>
      <c r="H33" s="412"/>
      <c r="I33" s="412"/>
      <c r="J33" s="412"/>
      <c r="K33" s="412"/>
      <c r="L33" s="412"/>
      <c r="M33" s="412"/>
      <c r="N33" s="412"/>
      <c r="O33" s="412"/>
      <c r="P33" s="412"/>
      <c r="Q33" s="412"/>
      <c r="R33" s="412"/>
      <c r="S33" s="412"/>
      <c r="T33" s="412"/>
    </row>
    <row r="34" spans="1:20" ht="23.1" customHeight="1">
      <c r="A34" s="412"/>
      <c r="B34" s="412"/>
      <c r="C34" s="412"/>
      <c r="D34" s="412"/>
      <c r="E34" s="412"/>
      <c r="F34" s="412"/>
      <c r="G34" s="412"/>
      <c r="H34" s="412"/>
      <c r="I34" s="412"/>
      <c r="J34" s="412"/>
      <c r="K34" s="412"/>
      <c r="L34" s="412"/>
      <c r="M34" s="412"/>
      <c r="N34" s="412"/>
      <c r="O34" s="412"/>
      <c r="P34" s="412"/>
      <c r="Q34" s="412"/>
      <c r="R34" s="412"/>
      <c r="S34" s="412"/>
      <c r="T34" s="412"/>
    </row>
    <row r="35" spans="1:20" ht="23.1" customHeight="1">
      <c r="A35" s="412"/>
      <c r="B35" s="412"/>
      <c r="C35" s="412"/>
      <c r="D35" s="412"/>
      <c r="E35" s="412"/>
      <c r="F35" s="412"/>
      <c r="G35" s="412"/>
      <c r="H35" s="412"/>
      <c r="I35" s="412"/>
      <c r="J35" s="412"/>
      <c r="K35" s="412"/>
      <c r="L35" s="412"/>
      <c r="M35" s="412"/>
      <c r="N35" s="412"/>
      <c r="O35" s="412"/>
      <c r="P35" s="412"/>
      <c r="Q35" s="412"/>
      <c r="R35" s="412"/>
      <c r="S35" s="412"/>
      <c r="T35" s="412"/>
    </row>
    <row r="36" spans="1:20" ht="23.1" customHeight="1">
      <c r="A36" s="412"/>
      <c r="B36" s="412"/>
      <c r="C36" s="412"/>
      <c r="D36" s="412"/>
      <c r="E36" s="412"/>
      <c r="F36" s="412"/>
      <c r="G36" s="412"/>
      <c r="H36" s="412"/>
      <c r="I36" s="412"/>
      <c r="J36" s="412"/>
      <c r="K36" s="412"/>
      <c r="L36" s="412"/>
      <c r="M36" s="412"/>
      <c r="N36" s="412"/>
      <c r="O36" s="412"/>
      <c r="P36" s="412"/>
      <c r="Q36" s="412"/>
      <c r="R36" s="412"/>
      <c r="S36" s="412"/>
      <c r="T36" s="412"/>
    </row>
    <row r="59" spans="8:8" ht="23.1" customHeight="1">
      <c r="H59" s="373"/>
    </row>
    <row r="60" spans="8:8" ht="23.1" customHeight="1">
      <c r="H60" s="373"/>
    </row>
    <row r="61" spans="8:8" ht="23.1" customHeight="1">
      <c r="H61" s="373"/>
    </row>
    <row r="62" spans="8:8" ht="23.1" customHeight="1">
      <c r="H62" s="373"/>
    </row>
    <row r="63" spans="8:8" ht="23.1" customHeight="1">
      <c r="H63" s="373"/>
    </row>
    <row r="64" spans="8:8" ht="23.1" customHeight="1">
      <c r="H64" s="373"/>
    </row>
    <row r="65" spans="8:8" ht="23.1" customHeight="1">
      <c r="H65" s="373"/>
    </row>
    <row r="66" spans="8:8" ht="23.1" customHeight="1">
      <c r="H66" s="373"/>
    </row>
    <row r="67" spans="8:8" ht="23.1" customHeight="1">
      <c r="H67" s="373"/>
    </row>
  </sheetData>
  <sheetProtection sheet="1" objects="1" scenarios="1"/>
  <mergeCells count="2">
    <mergeCell ref="E6:E7"/>
    <mergeCell ref="D9:E9"/>
  </mergeCells>
  <conditionalFormatting sqref="E20">
    <cfRule type="cellIs" dxfId="1" priority="39" operator="notEqual">
      <formula>"Ok"</formula>
    </cfRule>
    <cfRule type="containsText" dxfId="0" priority="40" operator="containsText" text="Ok">
      <formula>NOT(ISERROR(SEARCH("Ok",E20)))</formula>
    </cfRule>
  </conditionalFormatting>
  <pageMargins left="0.7" right="0.7" top="0.75" bottom="0.75" header="0.3" footer="0.3"/>
  <ignoredErrors>
    <ignoredError sqref="C21" formula="1"/>
  </ignoredErrors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AEBD805-059C-41C0-A477-B5C4C4E2E799}">
  <sheetPr codeName="Hoja3">
    <pageSetUpPr fitToPage="1"/>
  </sheetPr>
  <dimension ref="A2:AQ78"/>
  <sheetViews>
    <sheetView topLeftCell="A31" zoomScale="86" zoomScaleNormal="86" workbookViewId="0">
      <selection activeCell="D23" sqref="D23:F23"/>
    </sheetView>
  </sheetViews>
  <sheetFormatPr baseColWidth="10" defaultColWidth="10.6640625" defaultRowHeight="23.1" customHeight="1"/>
  <cols>
    <col min="1" max="1" width="4.6640625" style="2" bestFit="1" customWidth="1"/>
    <col min="2" max="2" width="3.109375" style="2" customWidth="1"/>
    <col min="3" max="3" width="18.88671875" style="2" customWidth="1"/>
    <col min="4" max="4" width="7.5546875" style="2" customWidth="1"/>
    <col min="5" max="5" width="15.33203125" style="2" customWidth="1"/>
    <col min="6" max="6" width="18.33203125" style="2" customWidth="1"/>
    <col min="7" max="7" width="26.88671875" style="2" customWidth="1"/>
    <col min="8" max="8" width="13.88671875" style="2" customWidth="1"/>
    <col min="9" max="9" width="25.109375" style="2" customWidth="1"/>
    <col min="10" max="11" width="3.5546875" style="2" customWidth="1"/>
    <col min="12" max="38" width="10.6640625" style="2"/>
    <col min="39" max="39" width="11.33203125" style="2" customWidth="1"/>
    <col min="40" max="16384" width="10.6640625" style="2"/>
  </cols>
  <sheetData>
    <row r="2" spans="1:43" ht="23.1" customHeight="1">
      <c r="A2" s="412"/>
      <c r="B2" s="412"/>
      <c r="C2" s="412"/>
      <c r="D2" s="391" t="str">
        <f>_GENERAL!D2</f>
        <v>Área de la Presidenta: Igualdad y Diversidad, Hacienda y Proyectos Estratégicos</v>
      </c>
      <c r="E2" s="412"/>
      <c r="F2" s="412"/>
      <c r="G2" s="412"/>
      <c r="H2" s="412"/>
      <c r="I2" s="412"/>
      <c r="J2" s="412"/>
      <c r="K2" s="412"/>
      <c r="L2" s="412"/>
      <c r="M2" s="412"/>
      <c r="N2" s="412"/>
      <c r="O2" s="412"/>
      <c r="P2" s="412"/>
      <c r="Q2" s="412"/>
      <c r="R2" s="412"/>
      <c r="S2" s="412"/>
      <c r="T2" s="412"/>
      <c r="U2" s="412"/>
      <c r="V2" s="412"/>
      <c r="W2" s="412"/>
      <c r="X2" s="412"/>
      <c r="Y2" s="412"/>
      <c r="Z2" s="412"/>
      <c r="AA2" s="412"/>
      <c r="AB2" s="412"/>
      <c r="AC2" s="412"/>
      <c r="AD2" s="412"/>
      <c r="AE2" s="412"/>
      <c r="AF2" s="412"/>
      <c r="AG2" s="412"/>
      <c r="AH2" s="412"/>
      <c r="AI2" s="412"/>
      <c r="AJ2" s="412"/>
      <c r="AK2" s="412"/>
      <c r="AL2" s="412"/>
      <c r="AM2" s="412"/>
      <c r="AN2" s="412"/>
      <c r="AO2" s="412"/>
      <c r="AP2" s="412"/>
      <c r="AQ2" s="412"/>
    </row>
    <row r="3" spans="1:43" ht="23.1" customHeight="1">
      <c r="A3" s="412"/>
      <c r="B3" s="412"/>
      <c r="C3" s="412"/>
      <c r="D3" s="391" t="str">
        <f>_GENERAL!D3</f>
        <v>Dirección Insular de Hacienda</v>
      </c>
      <c r="E3" s="412"/>
      <c r="F3" s="412"/>
      <c r="G3" s="412"/>
      <c r="H3" s="412"/>
      <c r="I3" s="412"/>
      <c r="J3" s="412"/>
      <c r="K3" s="412"/>
      <c r="L3" s="412"/>
      <c r="M3" s="412"/>
      <c r="N3" s="412"/>
      <c r="O3" s="412"/>
      <c r="P3" s="412"/>
      <c r="Q3" s="412"/>
      <c r="R3" s="412"/>
      <c r="S3" s="412"/>
      <c r="T3" s="412"/>
      <c r="U3" s="412"/>
      <c r="V3" s="412"/>
      <c r="W3" s="412"/>
      <c r="X3" s="412"/>
      <c r="Y3" s="412"/>
      <c r="Z3" s="412"/>
      <c r="AA3" s="412"/>
      <c r="AB3" s="412"/>
      <c r="AC3" s="412"/>
      <c r="AD3" s="412"/>
      <c r="AE3" s="412"/>
      <c r="AF3" s="412"/>
      <c r="AG3" s="412"/>
      <c r="AH3" s="412"/>
      <c r="AI3" s="412"/>
      <c r="AJ3" s="412"/>
      <c r="AK3" s="412"/>
      <c r="AL3" s="412"/>
      <c r="AM3" s="412"/>
      <c r="AN3" s="412"/>
      <c r="AO3" s="412"/>
      <c r="AP3" s="412"/>
      <c r="AQ3" s="412"/>
    </row>
    <row r="4" spans="1:43" ht="23.1" customHeight="1" thickBot="1">
      <c r="A4" s="412" t="s">
        <v>195</v>
      </c>
      <c r="B4" s="412"/>
      <c r="C4" s="412"/>
      <c r="D4" s="412"/>
      <c r="E4" s="412"/>
      <c r="F4" s="412"/>
      <c r="G4" s="412"/>
      <c r="H4" s="412"/>
      <c r="I4" s="412"/>
      <c r="J4" s="412"/>
      <c r="K4" s="412"/>
      <c r="L4" s="412"/>
      <c r="M4" s="412"/>
      <c r="N4" s="412"/>
      <c r="O4" s="412"/>
      <c r="P4" s="412"/>
      <c r="Q4" s="412"/>
      <c r="R4" s="412"/>
      <c r="S4" s="412"/>
      <c r="T4" s="412"/>
      <c r="U4" s="412"/>
      <c r="V4" s="412"/>
      <c r="W4" s="412"/>
      <c r="X4" s="412"/>
      <c r="Y4" s="412"/>
      <c r="Z4" s="412"/>
      <c r="AA4" s="356"/>
      <c r="AB4" s="356"/>
      <c r="AC4" s="356"/>
      <c r="AD4" s="356"/>
      <c r="AE4" s="356"/>
      <c r="AF4" s="356"/>
      <c r="AG4" s="356"/>
      <c r="AH4" s="356"/>
      <c r="AI4" s="356"/>
      <c r="AJ4" s="356"/>
      <c r="AK4" s="356"/>
      <c r="AL4" s="356"/>
      <c r="AM4" s="356"/>
      <c r="AN4" s="356"/>
      <c r="AO4" s="356"/>
      <c r="AP4" s="356"/>
      <c r="AQ4" s="356"/>
    </row>
    <row r="5" spans="1:43" ht="9" customHeight="1">
      <c r="A5" s="412"/>
      <c r="B5" s="871"/>
      <c r="C5" s="872"/>
      <c r="D5" s="872"/>
      <c r="E5" s="872"/>
      <c r="F5" s="872"/>
      <c r="G5" s="872"/>
      <c r="H5" s="872"/>
      <c r="I5" s="872"/>
      <c r="J5" s="873"/>
      <c r="K5" s="412"/>
      <c r="L5" s="1143"/>
      <c r="M5" s="1144"/>
      <c r="N5" s="1144"/>
      <c r="O5" s="1144"/>
      <c r="P5" s="1144"/>
      <c r="Q5" s="1144"/>
      <c r="R5" s="1144"/>
      <c r="S5" s="1144"/>
      <c r="T5" s="1144"/>
      <c r="U5" s="806"/>
      <c r="V5" s="806"/>
      <c r="W5" s="806"/>
      <c r="X5" s="806"/>
      <c r="Y5" s="807"/>
      <c r="Z5" s="412"/>
      <c r="AA5" s="356"/>
      <c r="AB5" s="356"/>
      <c r="AC5" s="356"/>
      <c r="AD5" s="356"/>
      <c r="AE5" s="356"/>
      <c r="AF5" s="356"/>
      <c r="AG5" s="356"/>
      <c r="AH5" s="356"/>
      <c r="AI5" s="356"/>
      <c r="AJ5" s="356"/>
      <c r="AK5" s="356"/>
      <c r="AL5" s="356"/>
      <c r="AM5" s="356"/>
      <c r="AN5" s="356"/>
      <c r="AO5" s="356"/>
      <c r="AP5" s="356"/>
      <c r="AQ5" s="356"/>
    </row>
    <row r="6" spans="1:43" ht="30" customHeight="1">
      <c r="A6" s="412"/>
      <c r="B6" s="874"/>
      <c r="C6" s="1" t="s">
        <v>2</v>
      </c>
      <c r="D6" s="9"/>
      <c r="E6" s="9"/>
      <c r="F6" s="9"/>
      <c r="G6" s="412"/>
      <c r="H6" s="1212">
        <f>ejercicio</f>
        <v>2025</v>
      </c>
      <c r="I6" s="1212"/>
      <c r="J6" s="875"/>
      <c r="K6" s="412"/>
      <c r="L6" s="1145"/>
      <c r="M6" s="1146" t="s">
        <v>196</v>
      </c>
      <c r="N6" s="1147"/>
      <c r="O6" s="1147"/>
      <c r="P6" s="1147"/>
      <c r="Q6" s="1147"/>
      <c r="R6" s="1147"/>
      <c r="S6" s="1147"/>
      <c r="T6" s="1147"/>
      <c r="U6" s="256"/>
      <c r="V6" s="256"/>
      <c r="W6" s="256"/>
      <c r="X6" s="256"/>
      <c r="Y6" s="257"/>
      <c r="Z6" s="412"/>
      <c r="AA6" s="356"/>
      <c r="AB6" s="356"/>
      <c r="AC6" s="356"/>
      <c r="AD6" s="356"/>
      <c r="AE6" s="356"/>
      <c r="AF6" s="356"/>
      <c r="AG6" s="356"/>
      <c r="AH6" s="356"/>
      <c r="AI6" s="356"/>
      <c r="AJ6" s="356"/>
      <c r="AK6" s="356"/>
      <c r="AL6" s="356"/>
      <c r="AM6" s="356"/>
      <c r="AN6" s="356"/>
      <c r="AO6" s="356"/>
      <c r="AP6" s="356"/>
      <c r="AQ6" s="356"/>
    </row>
    <row r="7" spans="1:43" ht="30" customHeight="1">
      <c r="A7" s="412"/>
      <c r="B7" s="874"/>
      <c r="C7" s="1" t="s">
        <v>3</v>
      </c>
      <c r="D7" s="412"/>
      <c r="E7" s="412"/>
      <c r="F7" s="412"/>
      <c r="G7" s="412"/>
      <c r="H7" s="1212"/>
      <c r="I7" s="1212"/>
      <c r="J7" s="875"/>
      <c r="K7" s="412"/>
      <c r="L7" s="1145"/>
      <c r="M7" s="1147"/>
      <c r="N7" s="1147"/>
      <c r="O7" s="1147"/>
      <c r="P7" s="1147"/>
      <c r="Q7" s="1147"/>
      <c r="R7" s="1147"/>
      <c r="S7" s="1147"/>
      <c r="T7" s="1148"/>
      <c r="U7" s="891"/>
      <c r="V7" s="891"/>
      <c r="W7" s="891"/>
      <c r="X7" s="891"/>
      <c r="Y7" s="257"/>
      <c r="Z7" s="412"/>
      <c r="AA7" s="356"/>
      <c r="AB7" s="356"/>
      <c r="AC7" s="356"/>
      <c r="AD7" s="356"/>
      <c r="AE7" s="356"/>
      <c r="AF7" s="356"/>
      <c r="AG7" s="356"/>
      <c r="AH7" s="356"/>
      <c r="AI7" s="356"/>
      <c r="AJ7" s="356"/>
      <c r="AK7" s="356"/>
      <c r="AL7" s="356"/>
      <c r="AM7" s="356"/>
      <c r="AN7" s="356"/>
      <c r="AO7" s="356"/>
      <c r="AP7" s="356"/>
      <c r="AQ7" s="356"/>
    </row>
    <row r="8" spans="1:43" ht="30" customHeight="1">
      <c r="A8" s="412"/>
      <c r="B8" s="874"/>
      <c r="C8" s="412"/>
      <c r="D8" s="412"/>
      <c r="E8" s="412"/>
      <c r="F8" s="412"/>
      <c r="G8" s="412"/>
      <c r="H8" s="7"/>
      <c r="I8" s="7"/>
      <c r="J8" s="875"/>
      <c r="K8" s="412"/>
      <c r="L8" s="1149"/>
      <c r="M8" s="1148"/>
      <c r="N8" s="1148"/>
      <c r="O8" s="1148"/>
      <c r="P8" s="1148"/>
      <c r="Q8" s="1148"/>
      <c r="R8" s="1148"/>
      <c r="S8" s="1148"/>
      <c r="T8" s="611"/>
      <c r="U8" s="254"/>
      <c r="V8" s="254"/>
      <c r="W8" s="254"/>
      <c r="X8" s="254"/>
      <c r="Y8" s="255"/>
      <c r="Z8" s="412"/>
      <c r="AA8" s="356"/>
      <c r="AB8" s="356"/>
      <c r="AC8" s="356"/>
      <c r="AD8" s="356"/>
      <c r="AE8" s="356"/>
      <c r="AF8" s="356"/>
      <c r="AG8" s="356"/>
      <c r="AH8" s="356"/>
      <c r="AI8" s="356"/>
      <c r="AJ8" s="356"/>
      <c r="AK8" s="356"/>
      <c r="AL8" s="356"/>
      <c r="AM8" s="356"/>
      <c r="AN8" s="356"/>
      <c r="AO8" s="356"/>
      <c r="AP8" s="356"/>
      <c r="AQ8" s="356"/>
    </row>
    <row r="9" spans="1:43" ht="30" customHeight="1">
      <c r="A9" s="412"/>
      <c r="B9" s="874"/>
      <c r="C9" s="20" t="s">
        <v>105</v>
      </c>
      <c r="D9" s="1220" t="str">
        <f>Entidad</f>
        <v>(MERCATENERIFE) Mercados Centrales de Abastecimiento de Tenerife, S.A.</v>
      </c>
      <c r="E9" s="1220"/>
      <c r="F9" s="1220"/>
      <c r="G9" s="1220"/>
      <c r="H9" s="1220"/>
      <c r="I9" s="21"/>
      <c r="J9" s="875"/>
      <c r="K9" s="412"/>
      <c r="L9" s="1150"/>
      <c r="M9" s="611"/>
      <c r="N9" s="611"/>
      <c r="O9" s="611"/>
      <c r="P9" s="611"/>
      <c r="Q9" s="611"/>
      <c r="R9" s="611"/>
      <c r="S9" s="611"/>
      <c r="T9" s="1147"/>
      <c r="U9" s="256"/>
      <c r="V9" s="256"/>
      <c r="W9" s="256"/>
      <c r="X9" s="256"/>
      <c r="Y9" s="892"/>
      <c r="Z9" s="412"/>
      <c r="AA9" s="356"/>
      <c r="AB9" s="356"/>
      <c r="AC9" s="356"/>
      <c r="AD9" s="356"/>
      <c r="AE9" s="356"/>
      <c r="AF9" s="356"/>
      <c r="AG9" s="356"/>
      <c r="AH9" s="356"/>
      <c r="AI9" s="356"/>
      <c r="AJ9" s="356"/>
      <c r="AK9" s="356"/>
      <c r="AL9" s="356"/>
      <c r="AM9" s="356"/>
      <c r="AN9" s="356"/>
      <c r="AO9" s="356"/>
      <c r="AP9" s="356"/>
      <c r="AQ9" s="356"/>
    </row>
    <row r="10" spans="1:43" ht="6.95" customHeight="1">
      <c r="A10" s="412"/>
      <c r="B10" s="874"/>
      <c r="C10" s="412"/>
      <c r="D10" s="412"/>
      <c r="E10" s="412"/>
      <c r="F10" s="412"/>
      <c r="G10" s="412"/>
      <c r="H10" s="876"/>
      <c r="I10" s="876"/>
      <c r="J10" s="875"/>
      <c r="K10" s="412"/>
      <c r="L10" s="1149"/>
      <c r="M10" s="1146"/>
      <c r="N10" s="1147"/>
      <c r="O10" s="1147"/>
      <c r="P10" s="1147"/>
      <c r="Q10" s="1147"/>
      <c r="R10" s="1147"/>
      <c r="S10" s="1147"/>
      <c r="T10" s="1147"/>
      <c r="U10" s="256"/>
      <c r="V10" s="256"/>
      <c r="W10" s="256"/>
      <c r="X10" s="256"/>
      <c r="Y10" s="255"/>
      <c r="Z10" s="412"/>
      <c r="AA10" s="356"/>
      <c r="AB10" s="356"/>
      <c r="AC10" s="356"/>
      <c r="AD10" s="356"/>
      <c r="AE10" s="356"/>
      <c r="AF10" s="356"/>
      <c r="AG10" s="356"/>
      <c r="AH10" s="356"/>
      <c r="AI10" s="356"/>
      <c r="AJ10" s="356"/>
      <c r="AK10" s="356"/>
      <c r="AL10" s="356"/>
      <c r="AM10" s="356"/>
      <c r="AN10" s="356"/>
      <c r="AO10" s="356"/>
      <c r="AP10" s="356"/>
      <c r="AQ10" s="356"/>
    </row>
    <row r="11" spans="1:43" s="1" customFormat="1" ht="30" customHeight="1">
      <c r="B11" s="10"/>
      <c r="C11" s="4" t="s">
        <v>197</v>
      </c>
      <c r="D11" s="4"/>
      <c r="E11" s="4"/>
      <c r="F11" s="4"/>
      <c r="G11" s="4"/>
      <c r="H11" s="4"/>
      <c r="I11" s="4"/>
      <c r="J11" s="11"/>
      <c r="L11" s="1145"/>
      <c r="M11" s="1147"/>
      <c r="N11" s="1147"/>
      <c r="O11" s="1147"/>
      <c r="P11" s="1147"/>
      <c r="Q11" s="1147"/>
      <c r="R11" s="1147"/>
      <c r="S11" s="1147"/>
      <c r="T11" s="611"/>
      <c r="U11" s="254"/>
      <c r="V11" s="254"/>
      <c r="W11" s="254"/>
      <c r="X11" s="254"/>
      <c r="Y11" s="257"/>
      <c r="AA11" s="1177"/>
      <c r="AB11" s="1177"/>
      <c r="AC11" s="1177"/>
      <c r="AD11" s="1177"/>
      <c r="AE11" s="1177"/>
      <c r="AF11" s="1177"/>
      <c r="AG11" s="1177"/>
      <c r="AH11" s="1177"/>
      <c r="AI11" s="1177"/>
      <c r="AJ11" s="1177"/>
      <c r="AK11" s="1177"/>
      <c r="AL11" s="1177"/>
      <c r="AM11" s="1177"/>
      <c r="AN11" s="1177"/>
      <c r="AO11" s="1177"/>
      <c r="AP11" s="1177"/>
      <c r="AQ11" s="1177"/>
    </row>
    <row r="12" spans="1:43" ht="23.1" customHeight="1">
      <c r="A12" s="412"/>
      <c r="B12" s="874"/>
      <c r="C12" s="412"/>
      <c r="D12" s="412"/>
      <c r="E12" s="412"/>
      <c r="F12" s="412"/>
      <c r="G12" s="412"/>
      <c r="H12" s="412"/>
      <c r="I12" s="412"/>
      <c r="J12" s="875"/>
      <c r="K12" s="412"/>
      <c r="L12" s="1145"/>
      <c r="M12" s="611"/>
      <c r="N12" s="611"/>
      <c r="O12" s="611"/>
      <c r="P12" s="611"/>
      <c r="Q12" s="611"/>
      <c r="R12" s="611"/>
      <c r="S12" s="611"/>
      <c r="T12" s="611"/>
      <c r="U12" s="254"/>
      <c r="V12" s="254"/>
      <c r="W12" s="254"/>
      <c r="X12" s="254"/>
      <c r="Y12" s="257"/>
      <c r="Z12" s="412"/>
      <c r="AA12" s="356"/>
      <c r="AB12" s="356"/>
      <c r="AC12" s="356"/>
      <c r="AD12" s="356"/>
      <c r="AE12" s="356"/>
      <c r="AF12" s="356"/>
      <c r="AG12" s="356"/>
      <c r="AH12" s="356"/>
      <c r="AI12" s="356"/>
      <c r="AJ12" s="356"/>
      <c r="AK12" s="356"/>
      <c r="AL12" s="356"/>
      <c r="AM12" s="356"/>
      <c r="AN12" s="356"/>
      <c r="AO12" s="356"/>
      <c r="AP12" s="356"/>
      <c r="AQ12" s="356"/>
    </row>
    <row r="13" spans="1:43" ht="23.1" customHeight="1">
      <c r="A13" s="412"/>
      <c r="B13" s="874"/>
      <c r="C13" s="5" t="s">
        <v>198</v>
      </c>
      <c r="D13" s="5"/>
      <c r="E13" s="5"/>
      <c r="F13" s="5"/>
      <c r="G13" s="5"/>
      <c r="H13" s="5"/>
      <c r="I13" s="1203">
        <f>+I15+I19</f>
        <v>12</v>
      </c>
      <c r="J13" s="875"/>
      <c r="K13" s="412"/>
      <c r="L13" s="1149"/>
      <c r="M13" s="611"/>
      <c r="N13" s="611"/>
      <c r="O13" s="611"/>
      <c r="P13" s="611"/>
      <c r="Q13" s="611"/>
      <c r="R13" s="611"/>
      <c r="S13" s="611"/>
      <c r="T13" s="611"/>
      <c r="U13" s="254"/>
      <c r="V13" s="254"/>
      <c r="W13" s="254"/>
      <c r="X13" s="254"/>
      <c r="Y13" s="255"/>
      <c r="Z13" s="412"/>
      <c r="AA13" s="356"/>
      <c r="AB13" s="356"/>
      <c r="AC13" s="356"/>
      <c r="AD13" s="356"/>
      <c r="AE13" s="356"/>
      <c r="AF13" s="356"/>
      <c r="AG13" s="356"/>
      <c r="AH13" s="356"/>
      <c r="AI13" s="356"/>
      <c r="AJ13" s="356"/>
      <c r="AK13" s="356"/>
      <c r="AL13" s="356"/>
      <c r="AM13" s="356"/>
      <c r="AN13" s="356"/>
      <c r="AO13" s="356"/>
      <c r="AP13" s="356"/>
      <c r="AQ13" s="356"/>
    </row>
    <row r="14" spans="1:43" ht="23.1" customHeight="1">
      <c r="A14" s="412"/>
      <c r="B14" s="874"/>
      <c r="C14" s="412"/>
      <c r="D14" s="412"/>
      <c r="E14" s="412"/>
      <c r="F14" s="412"/>
      <c r="G14" s="412"/>
      <c r="H14" s="412"/>
      <c r="I14" s="412"/>
      <c r="J14" s="875"/>
      <c r="K14" s="412"/>
      <c r="L14" s="1149"/>
      <c r="M14" s="611"/>
      <c r="N14" s="611"/>
      <c r="O14" s="611"/>
      <c r="P14" s="611"/>
      <c r="Q14" s="611"/>
      <c r="R14" s="611"/>
      <c r="S14" s="611"/>
      <c r="T14" s="611"/>
      <c r="U14" s="254"/>
      <c r="V14" s="254"/>
      <c r="W14" s="254"/>
      <c r="X14" s="254"/>
      <c r="Y14" s="255"/>
      <c r="Z14" s="412"/>
      <c r="AA14" s="356"/>
      <c r="AB14" s="356"/>
      <c r="AC14" s="356"/>
      <c r="AD14" s="356"/>
      <c r="AE14" s="356"/>
      <c r="AF14" s="356"/>
      <c r="AG14" s="356"/>
      <c r="AH14" s="356"/>
      <c r="AI14" s="356"/>
      <c r="AJ14" s="356"/>
      <c r="AK14" s="356"/>
      <c r="AL14" s="356"/>
      <c r="AM14" s="356"/>
      <c r="AN14" s="356"/>
      <c r="AO14" s="356"/>
      <c r="AP14" s="356"/>
      <c r="AQ14" s="356"/>
    </row>
    <row r="15" spans="1:43" ht="23.1" customHeight="1">
      <c r="A15" s="412"/>
      <c r="B15" s="874"/>
      <c r="C15" s="412"/>
      <c r="D15" s="290" t="s">
        <v>199</v>
      </c>
      <c r="E15" s="290"/>
      <c r="F15" s="290"/>
      <c r="G15" s="290"/>
      <c r="H15" s="290"/>
      <c r="I15" s="1204">
        <f>I16+I17</f>
        <v>12</v>
      </c>
      <c r="J15" s="875"/>
      <c r="K15" s="412"/>
      <c r="L15" s="1149"/>
      <c r="M15" s="611"/>
      <c r="N15" s="611"/>
      <c r="O15" s="611"/>
      <c r="P15" s="611"/>
      <c r="Q15" s="611"/>
      <c r="R15" s="611"/>
      <c r="S15" s="611"/>
      <c r="T15" s="611"/>
      <c r="U15" s="254"/>
      <c r="V15" s="254"/>
      <c r="W15" s="254"/>
      <c r="X15" s="254"/>
      <c r="Y15" s="255"/>
      <c r="Z15" s="412"/>
      <c r="AA15" s="356"/>
      <c r="AB15" s="356"/>
      <c r="AC15" s="356"/>
      <c r="AD15" s="356"/>
      <c r="AE15" s="356"/>
      <c r="AF15" s="356"/>
      <c r="AG15" s="356"/>
      <c r="AH15" s="356"/>
      <c r="AI15" s="356"/>
      <c r="AJ15" s="356"/>
      <c r="AK15" s="356"/>
      <c r="AL15" s="356"/>
      <c r="AM15" s="356"/>
      <c r="AN15" s="356"/>
      <c r="AO15" s="356"/>
      <c r="AP15" s="356"/>
      <c r="AQ15" s="356"/>
    </row>
    <row r="16" spans="1:43" ht="23.1" customHeight="1">
      <c r="A16" s="412"/>
      <c r="B16" s="874"/>
      <c r="C16" s="412"/>
      <c r="D16" s="412"/>
      <c r="E16" s="893" t="s">
        <v>200</v>
      </c>
      <c r="F16" s="893"/>
      <c r="G16" s="893"/>
      <c r="H16" s="893"/>
      <c r="I16" s="1205">
        <f>AD22</f>
        <v>6</v>
      </c>
      <c r="J16" s="875"/>
      <c r="K16" s="412"/>
      <c r="L16" s="1149"/>
      <c r="M16" s="611"/>
      <c r="N16" s="611"/>
      <c r="O16" s="611"/>
      <c r="P16" s="611"/>
      <c r="Q16" s="611"/>
      <c r="R16" s="611"/>
      <c r="S16" s="611"/>
      <c r="T16" s="611"/>
      <c r="U16" s="254"/>
      <c r="V16" s="254"/>
      <c r="W16" s="254"/>
      <c r="X16" s="254"/>
      <c r="Y16" s="255"/>
      <c r="Z16" s="356">
        <f>IF(I16="",1,0)</f>
        <v>0</v>
      </c>
      <c r="AA16" s="356"/>
      <c r="AB16" s="356"/>
      <c r="AC16" s="356"/>
      <c r="AD16" s="356"/>
      <c r="AE16" s="356"/>
      <c r="AF16" s="356"/>
      <c r="AG16" s="356"/>
      <c r="AH16" s="356"/>
      <c r="AI16" s="356"/>
      <c r="AJ16" s="356"/>
      <c r="AK16" s="356"/>
      <c r="AL16" s="356"/>
      <c r="AM16" s="356"/>
      <c r="AN16" s="356"/>
      <c r="AO16" s="356"/>
      <c r="AP16" s="356"/>
      <c r="AQ16" s="356"/>
    </row>
    <row r="17" spans="1:43" ht="23.1" customHeight="1">
      <c r="A17" s="412"/>
      <c r="B17" s="874"/>
      <c r="C17" s="412"/>
      <c r="D17" s="412"/>
      <c r="E17" s="893" t="s">
        <v>201</v>
      </c>
      <c r="F17" s="893"/>
      <c r="G17" s="893"/>
      <c r="H17" s="893"/>
      <c r="I17" s="1205">
        <f>AE22</f>
        <v>6</v>
      </c>
      <c r="J17" s="875"/>
      <c r="K17" s="412"/>
      <c r="L17" s="1149"/>
      <c r="M17" s="611"/>
      <c r="N17" s="611"/>
      <c r="O17" s="611"/>
      <c r="P17" s="611"/>
      <c r="Q17" s="611"/>
      <c r="R17" s="611"/>
      <c r="S17" s="611"/>
      <c r="T17" s="611"/>
      <c r="U17" s="254"/>
      <c r="V17" s="254"/>
      <c r="W17" s="254"/>
      <c r="X17" s="254"/>
      <c r="Y17" s="255"/>
      <c r="Z17" s="356"/>
      <c r="AA17" s="356"/>
      <c r="AB17" s="356"/>
      <c r="AC17" s="356"/>
      <c r="AD17" s="356"/>
      <c r="AE17" s="356"/>
      <c r="AF17" s="356"/>
      <c r="AG17" s="356"/>
      <c r="AH17" s="356"/>
      <c r="AI17" s="356"/>
      <c r="AJ17" s="356"/>
      <c r="AK17" s="356"/>
      <c r="AL17" s="356"/>
      <c r="AM17" s="356"/>
      <c r="AN17" s="356"/>
      <c r="AO17" s="356"/>
      <c r="AP17" s="356"/>
      <c r="AQ17" s="356"/>
    </row>
    <row r="18" spans="1:43" ht="23.1" customHeight="1">
      <c r="A18" s="412"/>
      <c r="B18" s="874"/>
      <c r="C18" s="412"/>
      <c r="D18" s="412"/>
      <c r="E18" s="412"/>
      <c r="F18" s="412"/>
      <c r="G18" s="412"/>
      <c r="H18" s="412"/>
      <c r="I18" s="412"/>
      <c r="J18" s="875"/>
      <c r="K18" s="412"/>
      <c r="L18" s="1149"/>
      <c r="M18" s="611"/>
      <c r="N18" s="611"/>
      <c r="O18" s="611"/>
      <c r="P18" s="611"/>
      <c r="Q18" s="611"/>
      <c r="R18" s="611"/>
      <c r="S18" s="611"/>
      <c r="T18" s="611"/>
      <c r="U18" s="254"/>
      <c r="V18" s="254"/>
      <c r="W18" s="254"/>
      <c r="X18" s="254"/>
      <c r="Y18" s="255"/>
      <c r="Z18" s="356"/>
      <c r="AA18" s="356"/>
      <c r="AB18" s="356"/>
      <c r="AC18" s="356"/>
      <c r="AD18" s="356"/>
      <c r="AE18" s="356"/>
      <c r="AF18" s="356"/>
      <c r="AG18" s="356"/>
      <c r="AH18" s="356"/>
      <c r="AI18" s="356"/>
      <c r="AJ18" s="356"/>
      <c r="AK18" s="356"/>
      <c r="AL18" s="356"/>
      <c r="AM18" s="356" t="s">
        <v>10</v>
      </c>
      <c r="AN18" s="356"/>
      <c r="AO18" s="356"/>
      <c r="AP18" s="356"/>
      <c r="AQ18" s="356"/>
    </row>
    <row r="19" spans="1:43" ht="23.1" customHeight="1">
      <c r="A19" s="412"/>
      <c r="B19" s="874"/>
      <c r="C19" s="412"/>
      <c r="D19" s="290" t="s">
        <v>202</v>
      </c>
      <c r="E19" s="290"/>
      <c r="F19" s="290"/>
      <c r="G19" s="290"/>
      <c r="H19" s="290"/>
      <c r="I19" s="1204">
        <f>AF22</f>
        <v>0</v>
      </c>
      <c r="J19" s="875"/>
      <c r="K19" s="412"/>
      <c r="L19" s="1149"/>
      <c r="M19" s="611"/>
      <c r="N19" s="611"/>
      <c r="O19" s="611"/>
      <c r="P19" s="611"/>
      <c r="Q19" s="611"/>
      <c r="R19" s="611"/>
      <c r="S19" s="611"/>
      <c r="T19" s="611"/>
      <c r="U19" s="254"/>
      <c r="V19" s="254"/>
      <c r="W19" s="254"/>
      <c r="X19" s="254"/>
      <c r="Y19" s="255"/>
      <c r="Z19" s="356"/>
      <c r="AA19" s="356"/>
      <c r="AB19" s="356"/>
      <c r="AC19" s="356"/>
      <c r="AD19" s="356"/>
      <c r="AE19" s="356"/>
      <c r="AF19" s="356"/>
      <c r="AG19" s="356"/>
      <c r="AH19" s="356"/>
      <c r="AI19" s="356"/>
      <c r="AJ19" s="356"/>
      <c r="AK19" s="356"/>
      <c r="AL19" s="356"/>
      <c r="AM19" s="1178" t="s">
        <v>98</v>
      </c>
      <c r="AN19" s="1179"/>
      <c r="AO19" s="1180"/>
      <c r="AP19" s="356"/>
      <c r="AQ19" s="356"/>
    </row>
    <row r="20" spans="1:43" ht="23.1" customHeight="1">
      <c r="A20" s="412"/>
      <c r="B20" s="874"/>
      <c r="C20" s="412"/>
      <c r="D20" s="412"/>
      <c r="E20" s="412"/>
      <c r="F20" s="412"/>
      <c r="G20" s="412"/>
      <c r="H20" s="412"/>
      <c r="I20" s="412"/>
      <c r="J20" s="875"/>
      <c r="K20" s="412"/>
      <c r="L20" s="1149"/>
      <c r="M20" s="611"/>
      <c r="N20" s="611"/>
      <c r="O20" s="611"/>
      <c r="P20" s="611"/>
      <c r="Q20" s="611"/>
      <c r="R20" s="611"/>
      <c r="S20" s="611"/>
      <c r="T20" s="611"/>
      <c r="U20" s="254"/>
      <c r="V20" s="254"/>
      <c r="W20" s="254"/>
      <c r="X20" s="254"/>
      <c r="Y20" s="255"/>
      <c r="Z20" s="356"/>
      <c r="AA20" s="356"/>
      <c r="AB20" s="356"/>
      <c r="AC20" s="356"/>
      <c r="AD20" s="356"/>
      <c r="AE20" s="356"/>
      <c r="AF20" s="356"/>
      <c r="AG20" s="356"/>
      <c r="AH20" s="356"/>
      <c r="AI20" s="356"/>
      <c r="AJ20" s="356"/>
      <c r="AK20" s="356"/>
      <c r="AL20" s="356"/>
      <c r="AM20" s="1181" t="s">
        <v>203</v>
      </c>
      <c r="AN20" s="356"/>
      <c r="AO20" s="1182"/>
      <c r="AP20" s="356"/>
      <c r="AQ20" s="356"/>
    </row>
    <row r="21" spans="1:43" ht="23.1" customHeight="1">
      <c r="A21" s="412"/>
      <c r="B21" s="874"/>
      <c r="C21" s="412"/>
      <c r="D21" s="412"/>
      <c r="E21" s="412"/>
      <c r="F21" s="412"/>
      <c r="G21" s="412"/>
      <c r="H21" s="412"/>
      <c r="I21" s="412"/>
      <c r="J21" s="875"/>
      <c r="K21" s="412"/>
      <c r="L21" s="1149"/>
      <c r="M21" s="611"/>
      <c r="N21" s="611"/>
      <c r="O21" s="611"/>
      <c r="P21" s="611"/>
      <c r="Q21" s="611"/>
      <c r="R21" s="611"/>
      <c r="S21" s="611"/>
      <c r="T21" s="611"/>
      <c r="U21" s="254"/>
      <c r="V21" s="254"/>
      <c r="W21" s="254"/>
      <c r="X21" s="254"/>
      <c r="Y21" s="255"/>
      <c r="Z21" s="356"/>
      <c r="AA21" s="356"/>
      <c r="AB21" s="356"/>
      <c r="AC21" s="356"/>
      <c r="AD21" s="1183" t="s">
        <v>204</v>
      </c>
      <c r="AE21" s="1183" t="s">
        <v>205</v>
      </c>
      <c r="AF21" s="1183" t="s">
        <v>206</v>
      </c>
      <c r="AG21" s="356"/>
      <c r="AH21" s="356"/>
      <c r="AI21" s="356"/>
      <c r="AJ21" s="356"/>
      <c r="AK21" s="356"/>
      <c r="AL21" s="356"/>
      <c r="AM21" s="1181" t="s">
        <v>207</v>
      </c>
      <c r="AN21" s="356"/>
      <c r="AO21" s="1182"/>
      <c r="AP21" s="356"/>
      <c r="AQ21" s="356"/>
    </row>
    <row r="22" spans="1:43" ht="30.95" customHeight="1">
      <c r="A22" s="412"/>
      <c r="B22" s="874"/>
      <c r="C22" s="12" t="s">
        <v>208</v>
      </c>
      <c r="D22" s="12" t="s">
        <v>209</v>
      </c>
      <c r="E22" s="12"/>
      <c r="F22" s="12"/>
      <c r="G22" s="12" t="s">
        <v>210</v>
      </c>
      <c r="H22" s="13" t="s">
        <v>211</v>
      </c>
      <c r="I22" s="1174" t="s">
        <v>212</v>
      </c>
      <c r="J22" s="875"/>
      <c r="K22" s="412"/>
      <c r="L22" s="1149"/>
      <c r="M22" s="611"/>
      <c r="N22" s="611"/>
      <c r="O22" s="611"/>
      <c r="P22" s="611"/>
      <c r="Q22" s="611"/>
      <c r="R22" s="611"/>
      <c r="S22" s="611"/>
      <c r="T22" s="611"/>
      <c r="U22" s="254"/>
      <c r="V22" s="254"/>
      <c r="W22" s="254"/>
      <c r="X22" s="254"/>
      <c r="Y22" s="255"/>
      <c r="Z22" s="356"/>
      <c r="AA22" s="356"/>
      <c r="AB22" s="356"/>
      <c r="AC22" s="356"/>
      <c r="AD22" s="1184">
        <f>SUM(AD23:AD38)</f>
        <v>6</v>
      </c>
      <c r="AE22" s="1185">
        <f>SUM(AE23:AE38)</f>
        <v>6</v>
      </c>
      <c r="AF22" s="1186">
        <f>SUM(AF23:AF38)</f>
        <v>0</v>
      </c>
      <c r="AG22" s="1187">
        <f>SUM(AG23:AG38)</f>
        <v>0</v>
      </c>
      <c r="AH22" s="356"/>
      <c r="AI22" s="356"/>
      <c r="AJ22" s="356"/>
      <c r="AK22" s="356"/>
      <c r="AL22" s="356"/>
      <c r="AM22" s="1188" t="s">
        <v>213</v>
      </c>
      <c r="AN22" s="1189"/>
      <c r="AO22" s="1190"/>
      <c r="AP22" s="356"/>
      <c r="AQ22" s="356"/>
    </row>
    <row r="23" spans="1:43" ht="23.1" customHeight="1">
      <c r="A23" s="412"/>
      <c r="B23" s="874"/>
      <c r="C23" s="14" t="s">
        <v>214</v>
      </c>
      <c r="D23" s="1223" t="s">
        <v>215</v>
      </c>
      <c r="E23" s="1223"/>
      <c r="F23" s="1223"/>
      <c r="G23" s="721" t="s">
        <v>98</v>
      </c>
      <c r="H23" s="264">
        <v>45194</v>
      </c>
      <c r="I23" s="264" t="s">
        <v>216</v>
      </c>
      <c r="J23" s="875"/>
      <c r="K23" s="412"/>
      <c r="L23" s="1149"/>
      <c r="M23" s="611"/>
      <c r="N23" s="611"/>
      <c r="O23" s="611"/>
      <c r="P23" s="611"/>
      <c r="Q23" s="611"/>
      <c r="R23" s="611"/>
      <c r="S23" s="611"/>
      <c r="T23" s="611"/>
      <c r="U23" s="254"/>
      <c r="V23" s="254"/>
      <c r="W23" s="254"/>
      <c r="X23" s="254"/>
      <c r="Y23" s="255"/>
      <c r="Z23" s="356">
        <f>IF(D23="",1,0)</f>
        <v>0</v>
      </c>
      <c r="AA23" s="1151">
        <f>IF(D23&lt;&gt;"",IF(G23="",1,0),0)</f>
        <v>0</v>
      </c>
      <c r="AB23" s="356"/>
      <c r="AC23" s="356"/>
      <c r="AD23" s="1191">
        <f t="shared" ref="AD23:AD38" si="0">IF(D23&lt;&gt;"",IF(G23=$AM$19,1,0),0)</f>
        <v>1</v>
      </c>
      <c r="AE23" s="1192">
        <f t="shared" ref="AE23:AE38" si="1">IF(D23&lt;&gt;"",IF(G23=$AM$20,1,0),0)</f>
        <v>0</v>
      </c>
      <c r="AF23" s="1193">
        <f>IF(D23&lt;&gt;"",IF(G23=$AM$21,1,0),0)</f>
        <v>0</v>
      </c>
      <c r="AG23" s="1180">
        <f t="shared" ref="AG23:AG38" si="2">IF(D23&lt;&gt;"",IF(G23&lt;&gt;"",0,1),0)</f>
        <v>0</v>
      </c>
      <c r="AH23" s="356"/>
      <c r="AI23" s="356"/>
      <c r="AJ23" s="356"/>
      <c r="AK23" s="356"/>
      <c r="AL23" s="356"/>
      <c r="AM23" s="356"/>
      <c r="AN23" s="356"/>
      <c r="AO23" s="356"/>
      <c r="AP23" s="356"/>
      <c r="AQ23" s="356"/>
    </row>
    <row r="24" spans="1:43" ht="23.1" customHeight="1">
      <c r="A24" s="412"/>
      <c r="B24" s="874"/>
      <c r="C24" s="15" t="s">
        <v>217</v>
      </c>
      <c r="D24" s="1224" t="s">
        <v>218</v>
      </c>
      <c r="E24" s="1224"/>
      <c r="F24" s="1224"/>
      <c r="G24" s="722" t="s">
        <v>203</v>
      </c>
      <c r="H24" s="265">
        <v>45194</v>
      </c>
      <c r="I24" s="265" t="s">
        <v>216</v>
      </c>
      <c r="J24" s="875"/>
      <c r="K24" s="412"/>
      <c r="L24" s="1149"/>
      <c r="M24" s="611"/>
      <c r="N24" s="611"/>
      <c r="O24" s="611"/>
      <c r="P24" s="611"/>
      <c r="Q24" s="611"/>
      <c r="R24" s="611"/>
      <c r="S24" s="611"/>
      <c r="T24" s="611"/>
      <c r="U24" s="254"/>
      <c r="V24" s="254"/>
      <c r="W24" s="254"/>
      <c r="X24" s="254"/>
      <c r="Y24" s="255"/>
      <c r="Z24" s="356"/>
      <c r="AA24" s="356"/>
      <c r="AB24" s="356"/>
      <c r="AC24" s="356"/>
      <c r="AD24" s="1194">
        <f t="shared" si="0"/>
        <v>0</v>
      </c>
      <c r="AE24" s="1195">
        <f t="shared" si="1"/>
        <v>1</v>
      </c>
      <c r="AF24" s="1196">
        <f t="shared" ref="AF24:AF38" si="3">IF(D24&lt;&gt;"",IF(G24=$AM$21,1,0),0)</f>
        <v>0</v>
      </c>
      <c r="AG24" s="1182">
        <f t="shared" si="2"/>
        <v>0</v>
      </c>
      <c r="AH24" s="356"/>
      <c r="AI24" s="356"/>
      <c r="AJ24" s="356"/>
      <c r="AK24" s="356"/>
      <c r="AL24" s="356"/>
      <c r="AM24" s="356"/>
      <c r="AN24" s="356"/>
      <c r="AO24" s="356"/>
      <c r="AP24" s="356"/>
      <c r="AQ24" s="356"/>
    </row>
    <row r="25" spans="1:43" ht="23.1" customHeight="1">
      <c r="A25" s="412"/>
      <c r="B25" s="874"/>
      <c r="C25" s="15" t="s">
        <v>219</v>
      </c>
      <c r="D25" s="1224" t="s">
        <v>220</v>
      </c>
      <c r="E25" s="1224"/>
      <c r="F25" s="1224"/>
      <c r="G25" s="722" t="s">
        <v>213</v>
      </c>
      <c r="H25" s="265">
        <v>45194</v>
      </c>
      <c r="I25" s="265" t="s">
        <v>216</v>
      </c>
      <c r="J25" s="875"/>
      <c r="K25" s="412"/>
      <c r="L25" s="1149"/>
      <c r="M25" s="611"/>
      <c r="N25" s="611"/>
      <c r="O25" s="611"/>
      <c r="P25" s="611"/>
      <c r="Q25" s="611"/>
      <c r="R25" s="611"/>
      <c r="S25" s="611"/>
      <c r="T25" s="611"/>
      <c r="U25" s="254"/>
      <c r="V25" s="254"/>
      <c r="W25" s="254"/>
      <c r="X25" s="254"/>
      <c r="Y25" s="255"/>
      <c r="Z25" s="356">
        <f>IF(D25="",1,0)</f>
        <v>0</v>
      </c>
      <c r="AA25" s="1151">
        <f>IF(D25&lt;&gt;"",IF(G25="",1,0),0)</f>
        <v>0</v>
      </c>
      <c r="AB25" s="356"/>
      <c r="AC25" s="356"/>
      <c r="AD25" s="1194">
        <f t="shared" si="0"/>
        <v>0</v>
      </c>
      <c r="AE25" s="1195">
        <f t="shared" si="1"/>
        <v>0</v>
      </c>
      <c r="AF25" s="1196">
        <f t="shared" si="3"/>
        <v>0</v>
      </c>
      <c r="AG25" s="1182">
        <f t="shared" si="2"/>
        <v>0</v>
      </c>
      <c r="AH25" s="356"/>
      <c r="AI25" s="356"/>
      <c r="AJ25" s="356"/>
      <c r="AK25" s="356"/>
      <c r="AL25" s="356"/>
      <c r="AM25" s="356"/>
      <c r="AN25" s="356"/>
      <c r="AO25" s="356"/>
      <c r="AP25" s="356"/>
      <c r="AQ25" s="356"/>
    </row>
    <row r="26" spans="1:43" ht="23.1" customHeight="1">
      <c r="A26" s="412"/>
      <c r="B26" s="874"/>
      <c r="C26" s="15" t="s">
        <v>221</v>
      </c>
      <c r="D26" s="1224"/>
      <c r="E26" s="1224"/>
      <c r="F26" s="1224"/>
      <c r="G26" s="722"/>
      <c r="H26" s="265"/>
      <c r="I26" s="265"/>
      <c r="J26" s="875"/>
      <c r="K26" s="412"/>
      <c r="L26" s="1149"/>
      <c r="M26" s="611"/>
      <c r="N26" s="611"/>
      <c r="O26" s="611"/>
      <c r="P26" s="611"/>
      <c r="Q26" s="611"/>
      <c r="R26" s="611"/>
      <c r="S26" s="611"/>
      <c r="T26" s="611"/>
      <c r="U26" s="254"/>
      <c r="V26" s="254"/>
      <c r="W26" s="254"/>
      <c r="X26" s="254"/>
      <c r="Y26" s="255"/>
      <c r="Z26" s="356"/>
      <c r="AA26" s="356"/>
      <c r="AB26" s="356"/>
      <c r="AC26" s="356"/>
      <c r="AD26" s="1194">
        <f t="shared" si="0"/>
        <v>0</v>
      </c>
      <c r="AE26" s="1195">
        <f t="shared" si="1"/>
        <v>0</v>
      </c>
      <c r="AF26" s="1196">
        <f t="shared" si="3"/>
        <v>0</v>
      </c>
      <c r="AG26" s="1182">
        <f t="shared" si="2"/>
        <v>0</v>
      </c>
      <c r="AH26" s="356"/>
      <c r="AI26" s="356"/>
      <c r="AJ26" s="356"/>
      <c r="AK26" s="356"/>
      <c r="AL26" s="356"/>
      <c r="AM26" s="356"/>
      <c r="AN26" s="356"/>
      <c r="AO26" s="356"/>
      <c r="AP26" s="356"/>
      <c r="AQ26" s="356"/>
    </row>
    <row r="27" spans="1:43" ht="23.1" customHeight="1">
      <c r="A27" s="412"/>
      <c r="B27" s="874"/>
      <c r="C27" s="15" t="s">
        <v>222</v>
      </c>
      <c r="D27" s="1224" t="s">
        <v>223</v>
      </c>
      <c r="E27" s="1224"/>
      <c r="F27" s="1224"/>
      <c r="G27" s="722" t="s">
        <v>98</v>
      </c>
      <c r="H27" s="265">
        <v>45194</v>
      </c>
      <c r="I27" s="265" t="s">
        <v>216</v>
      </c>
      <c r="J27" s="875"/>
      <c r="K27" s="412"/>
      <c r="L27" s="1149"/>
      <c r="M27" s="611"/>
      <c r="N27" s="611"/>
      <c r="O27" s="611"/>
      <c r="P27" s="611"/>
      <c r="Q27" s="611"/>
      <c r="R27" s="611"/>
      <c r="S27" s="611"/>
      <c r="T27" s="611"/>
      <c r="U27" s="254"/>
      <c r="V27" s="254"/>
      <c r="W27" s="254"/>
      <c r="X27" s="254"/>
      <c r="Y27" s="255"/>
      <c r="Z27" s="356">
        <f>IF(D27="",1,0)</f>
        <v>0</v>
      </c>
      <c r="AA27" s="1151">
        <f>IF(D27&lt;&gt;"",IF(G27="",1,0),0)</f>
        <v>0</v>
      </c>
      <c r="AB27" s="356"/>
      <c r="AC27" s="356"/>
      <c r="AD27" s="1194">
        <f t="shared" si="0"/>
        <v>1</v>
      </c>
      <c r="AE27" s="1195">
        <f t="shared" si="1"/>
        <v>0</v>
      </c>
      <c r="AF27" s="1196">
        <f t="shared" si="3"/>
        <v>0</v>
      </c>
      <c r="AG27" s="1182">
        <f t="shared" si="2"/>
        <v>0</v>
      </c>
      <c r="AH27" s="356"/>
      <c r="AI27" s="356"/>
      <c r="AJ27" s="356"/>
      <c r="AK27" s="356"/>
      <c r="AL27" s="356"/>
      <c r="AM27" s="356"/>
      <c r="AN27" s="356"/>
      <c r="AO27" s="356"/>
      <c r="AP27" s="356"/>
      <c r="AQ27" s="356"/>
    </row>
    <row r="28" spans="1:43" ht="23.1" customHeight="1">
      <c r="A28" s="412"/>
      <c r="B28" s="874"/>
      <c r="C28" s="15" t="s">
        <v>224</v>
      </c>
      <c r="D28" s="1224" t="s">
        <v>225</v>
      </c>
      <c r="E28" s="1224"/>
      <c r="F28" s="1224"/>
      <c r="G28" s="722" t="s">
        <v>98</v>
      </c>
      <c r="H28" s="265">
        <v>45194</v>
      </c>
      <c r="I28" s="265" t="s">
        <v>216</v>
      </c>
      <c r="J28" s="875"/>
      <c r="K28" s="412"/>
      <c r="L28" s="1149"/>
      <c r="M28" s="611"/>
      <c r="N28" s="611"/>
      <c r="O28" s="611"/>
      <c r="P28" s="611"/>
      <c r="Q28" s="611"/>
      <c r="R28" s="611"/>
      <c r="S28" s="611"/>
      <c r="T28" s="1152"/>
      <c r="U28" s="258"/>
      <c r="V28" s="258"/>
      <c r="W28" s="258"/>
      <c r="X28" s="258"/>
      <c r="Y28" s="255"/>
      <c r="Z28" s="356"/>
      <c r="AA28" s="356"/>
      <c r="AB28" s="356"/>
      <c r="AC28" s="356"/>
      <c r="AD28" s="1194">
        <f t="shared" si="0"/>
        <v>1</v>
      </c>
      <c r="AE28" s="1195">
        <f t="shared" si="1"/>
        <v>0</v>
      </c>
      <c r="AF28" s="1196">
        <f t="shared" si="3"/>
        <v>0</v>
      </c>
      <c r="AG28" s="1182">
        <f t="shared" si="2"/>
        <v>0</v>
      </c>
      <c r="AH28" s="356"/>
      <c r="AI28" s="356"/>
      <c r="AJ28" s="356"/>
      <c r="AK28" s="356"/>
      <c r="AL28" s="356"/>
      <c r="AM28" s="356"/>
      <c r="AN28" s="356"/>
      <c r="AO28" s="356"/>
      <c r="AP28" s="356"/>
      <c r="AQ28" s="356"/>
    </row>
    <row r="29" spans="1:43" ht="23.1" customHeight="1">
      <c r="A29" s="412"/>
      <c r="B29" s="874"/>
      <c r="C29" s="15" t="s">
        <v>226</v>
      </c>
      <c r="D29" s="1224" t="s">
        <v>227</v>
      </c>
      <c r="E29" s="1224"/>
      <c r="F29" s="1224"/>
      <c r="G29" s="722" t="s">
        <v>98</v>
      </c>
      <c r="H29" s="265">
        <v>45194</v>
      </c>
      <c r="I29" s="265" t="s">
        <v>216</v>
      </c>
      <c r="J29" s="875"/>
      <c r="K29" s="412"/>
      <c r="L29" s="1149" t="str">
        <f t="shared" ref="L29:L38" si="4">IF(P29=1,"***","")</f>
        <v/>
      </c>
      <c r="M29" s="611"/>
      <c r="N29" s="611"/>
      <c r="O29" s="1151">
        <f t="shared" ref="O29:O38" si="5">IF(D29&lt;&gt;"",IF(G29=$AM$21,1,0),0)</f>
        <v>0</v>
      </c>
      <c r="P29" s="1151">
        <f t="shared" ref="P29:P38" si="6">IF(D29&lt;&gt;"",IF(G29="",1,0),0)</f>
        <v>0</v>
      </c>
      <c r="Q29" s="1152"/>
      <c r="R29" s="1152"/>
      <c r="S29" s="1152"/>
      <c r="T29" s="1152"/>
      <c r="U29" s="258"/>
      <c r="V29" s="258"/>
      <c r="W29" s="258"/>
      <c r="X29" s="258"/>
      <c r="Y29" s="255"/>
      <c r="Z29" s="356"/>
      <c r="AA29" s="356"/>
      <c r="AB29" s="356"/>
      <c r="AC29" s="356"/>
      <c r="AD29" s="1194">
        <f t="shared" si="0"/>
        <v>1</v>
      </c>
      <c r="AE29" s="1195">
        <f t="shared" si="1"/>
        <v>0</v>
      </c>
      <c r="AF29" s="1196">
        <f t="shared" si="3"/>
        <v>0</v>
      </c>
      <c r="AG29" s="1182">
        <f t="shared" si="2"/>
        <v>0</v>
      </c>
      <c r="AH29" s="356"/>
      <c r="AI29" s="356"/>
      <c r="AJ29" s="356"/>
      <c r="AK29" s="356"/>
      <c r="AL29" s="356"/>
      <c r="AM29" s="356"/>
      <c r="AN29" s="356"/>
      <c r="AO29" s="356"/>
      <c r="AP29" s="356"/>
      <c r="AQ29" s="356"/>
    </row>
    <row r="30" spans="1:43" ht="23.1" customHeight="1">
      <c r="A30" s="412"/>
      <c r="B30" s="874"/>
      <c r="C30" s="15" t="s">
        <v>228</v>
      </c>
      <c r="D30" s="1224" t="s">
        <v>229</v>
      </c>
      <c r="E30" s="1224"/>
      <c r="F30" s="1224"/>
      <c r="G30" s="722" t="s">
        <v>98</v>
      </c>
      <c r="H30" s="265">
        <v>45194</v>
      </c>
      <c r="I30" s="265" t="s">
        <v>216</v>
      </c>
      <c r="J30" s="875"/>
      <c r="K30" s="412"/>
      <c r="L30" s="1149" t="str">
        <f t="shared" si="4"/>
        <v/>
      </c>
      <c r="M30" s="611"/>
      <c r="N30" s="611"/>
      <c r="O30" s="1151">
        <f t="shared" si="5"/>
        <v>0</v>
      </c>
      <c r="P30" s="1151">
        <f t="shared" si="6"/>
        <v>0</v>
      </c>
      <c r="Q30" s="1152"/>
      <c r="R30" s="1152"/>
      <c r="S30" s="1152"/>
      <c r="T30" s="611"/>
      <c r="U30" s="254"/>
      <c r="V30" s="254"/>
      <c r="W30" s="254"/>
      <c r="X30" s="254"/>
      <c r="Y30" s="259"/>
      <c r="Z30" s="356"/>
      <c r="AA30" s="356"/>
      <c r="AB30" s="356"/>
      <c r="AC30" s="356"/>
      <c r="AD30" s="1194">
        <f t="shared" si="0"/>
        <v>1</v>
      </c>
      <c r="AE30" s="1195">
        <f t="shared" si="1"/>
        <v>0</v>
      </c>
      <c r="AF30" s="1196">
        <f t="shared" si="3"/>
        <v>0</v>
      </c>
      <c r="AG30" s="1182">
        <f t="shared" si="2"/>
        <v>0</v>
      </c>
      <c r="AH30" s="356"/>
      <c r="AI30" s="356"/>
      <c r="AJ30" s="356"/>
      <c r="AK30" s="356"/>
      <c r="AL30" s="356"/>
      <c r="AM30" s="356"/>
      <c r="AN30" s="356"/>
      <c r="AO30" s="356"/>
      <c r="AP30" s="356"/>
      <c r="AQ30" s="356"/>
    </row>
    <row r="31" spans="1:43" ht="23.1" customHeight="1">
      <c r="A31" s="412"/>
      <c r="B31" s="874"/>
      <c r="C31" s="15" t="s">
        <v>230</v>
      </c>
      <c r="D31" s="1224" t="s">
        <v>231</v>
      </c>
      <c r="E31" s="1224"/>
      <c r="F31" s="1224"/>
      <c r="G31" s="722" t="s">
        <v>203</v>
      </c>
      <c r="H31" s="265">
        <v>45421</v>
      </c>
      <c r="I31" s="265" t="s">
        <v>216</v>
      </c>
      <c r="J31" s="875"/>
      <c r="K31" s="412"/>
      <c r="L31" s="1149" t="str">
        <f t="shared" si="4"/>
        <v/>
      </c>
      <c r="M31" s="611"/>
      <c r="N31" s="611"/>
      <c r="O31" s="1151">
        <f t="shared" si="5"/>
        <v>0</v>
      </c>
      <c r="P31" s="1151">
        <f t="shared" si="6"/>
        <v>0</v>
      </c>
      <c r="Q31" s="611"/>
      <c r="R31" s="611"/>
      <c r="S31" s="611"/>
      <c r="T31" s="611"/>
      <c r="U31" s="254"/>
      <c r="V31" s="254"/>
      <c r="W31" s="254"/>
      <c r="X31" s="254"/>
      <c r="Y31" s="259"/>
      <c r="Z31" s="356"/>
      <c r="AA31" s="356"/>
      <c r="AB31" s="356"/>
      <c r="AC31" s="356"/>
      <c r="AD31" s="1194">
        <f t="shared" si="0"/>
        <v>0</v>
      </c>
      <c r="AE31" s="1195">
        <f t="shared" si="1"/>
        <v>1</v>
      </c>
      <c r="AF31" s="1196">
        <f t="shared" si="3"/>
        <v>0</v>
      </c>
      <c r="AG31" s="1182">
        <f t="shared" si="2"/>
        <v>0</v>
      </c>
      <c r="AH31" s="356"/>
      <c r="AI31" s="356"/>
      <c r="AJ31" s="356"/>
      <c r="AK31" s="356"/>
      <c r="AL31" s="356"/>
      <c r="AM31" s="356"/>
      <c r="AN31" s="356"/>
      <c r="AO31" s="356"/>
      <c r="AP31" s="356"/>
      <c r="AQ31" s="356"/>
    </row>
    <row r="32" spans="1:43" ht="23.1" customHeight="1">
      <c r="A32" s="412"/>
      <c r="B32" s="874"/>
      <c r="C32" s="15" t="s">
        <v>232</v>
      </c>
      <c r="D32" s="1224" t="s">
        <v>233</v>
      </c>
      <c r="E32" s="1224"/>
      <c r="F32" s="1224"/>
      <c r="G32" s="722" t="s">
        <v>203</v>
      </c>
      <c r="H32" s="265">
        <v>45194</v>
      </c>
      <c r="I32" s="265" t="s">
        <v>216</v>
      </c>
      <c r="J32" s="875"/>
      <c r="K32" s="412"/>
      <c r="L32" s="1149" t="str">
        <f t="shared" si="4"/>
        <v/>
      </c>
      <c r="M32" s="611"/>
      <c r="N32" s="611"/>
      <c r="O32" s="1151">
        <f t="shared" si="5"/>
        <v>0</v>
      </c>
      <c r="P32" s="1151">
        <f t="shared" si="6"/>
        <v>0</v>
      </c>
      <c r="Q32" s="611"/>
      <c r="R32" s="611"/>
      <c r="S32" s="611"/>
      <c r="T32" s="611"/>
      <c r="U32" s="254"/>
      <c r="V32" s="254"/>
      <c r="W32" s="254"/>
      <c r="X32" s="254"/>
      <c r="Y32" s="255"/>
      <c r="Z32" s="356"/>
      <c r="AA32" s="356"/>
      <c r="AB32" s="356"/>
      <c r="AC32" s="356"/>
      <c r="AD32" s="1194">
        <f t="shared" si="0"/>
        <v>0</v>
      </c>
      <c r="AE32" s="1195">
        <f t="shared" si="1"/>
        <v>1</v>
      </c>
      <c r="AF32" s="1196">
        <f t="shared" si="3"/>
        <v>0</v>
      </c>
      <c r="AG32" s="1182">
        <f t="shared" si="2"/>
        <v>0</v>
      </c>
      <c r="AH32" s="356"/>
      <c r="AI32" s="356"/>
      <c r="AJ32" s="356"/>
      <c r="AK32" s="356"/>
      <c r="AL32" s="356"/>
      <c r="AM32" s="356"/>
      <c r="AN32" s="356"/>
      <c r="AO32" s="356"/>
      <c r="AP32" s="356"/>
      <c r="AQ32" s="356"/>
    </row>
    <row r="33" spans="1:43" ht="23.1" customHeight="1">
      <c r="A33" s="412"/>
      <c r="B33" s="874"/>
      <c r="C33" s="15" t="s">
        <v>234</v>
      </c>
      <c r="D33" s="1224" t="s">
        <v>235</v>
      </c>
      <c r="E33" s="1224"/>
      <c r="F33" s="1224"/>
      <c r="G33" s="722" t="s">
        <v>203</v>
      </c>
      <c r="H33" s="265">
        <v>45194</v>
      </c>
      <c r="I33" s="265" t="s">
        <v>216</v>
      </c>
      <c r="J33" s="875"/>
      <c r="K33" s="412"/>
      <c r="L33" s="1149" t="str">
        <f t="shared" si="4"/>
        <v/>
      </c>
      <c r="M33" s="611"/>
      <c r="N33" s="611"/>
      <c r="O33" s="1151">
        <f t="shared" si="5"/>
        <v>0</v>
      </c>
      <c r="P33" s="1151">
        <f t="shared" si="6"/>
        <v>0</v>
      </c>
      <c r="Q33" s="611"/>
      <c r="R33" s="611"/>
      <c r="S33" s="611"/>
      <c r="T33" s="611"/>
      <c r="U33" s="254"/>
      <c r="V33" s="254"/>
      <c r="W33" s="254"/>
      <c r="X33" s="254"/>
      <c r="Y33" s="255"/>
      <c r="Z33" s="356"/>
      <c r="AA33" s="356"/>
      <c r="AB33" s="356"/>
      <c r="AC33" s="356"/>
      <c r="AD33" s="1194">
        <f t="shared" si="0"/>
        <v>0</v>
      </c>
      <c r="AE33" s="1195">
        <f t="shared" si="1"/>
        <v>1</v>
      </c>
      <c r="AF33" s="1196">
        <f t="shared" si="3"/>
        <v>0</v>
      </c>
      <c r="AG33" s="1182">
        <f t="shared" si="2"/>
        <v>0</v>
      </c>
      <c r="AH33" s="356"/>
      <c r="AI33" s="356"/>
      <c r="AJ33" s="356"/>
      <c r="AK33" s="356"/>
      <c r="AL33" s="356"/>
      <c r="AM33" s="356"/>
      <c r="AN33" s="356"/>
      <c r="AO33" s="356"/>
      <c r="AP33" s="356"/>
      <c r="AQ33" s="356"/>
    </row>
    <row r="34" spans="1:43" ht="23.1" customHeight="1">
      <c r="A34" s="412"/>
      <c r="B34" s="874"/>
      <c r="C34" s="15" t="s">
        <v>236</v>
      </c>
      <c r="D34" s="1224" t="s">
        <v>237</v>
      </c>
      <c r="E34" s="1224"/>
      <c r="F34" s="1224"/>
      <c r="G34" s="722" t="s">
        <v>203</v>
      </c>
      <c r="H34" s="265">
        <v>45194</v>
      </c>
      <c r="I34" s="265" t="s">
        <v>216</v>
      </c>
      <c r="J34" s="875"/>
      <c r="K34" s="412"/>
      <c r="L34" s="1149" t="str">
        <f t="shared" si="4"/>
        <v/>
      </c>
      <c r="M34" s="611"/>
      <c r="N34" s="611"/>
      <c r="O34" s="1151">
        <f t="shared" si="5"/>
        <v>0</v>
      </c>
      <c r="P34" s="1151">
        <f t="shared" si="6"/>
        <v>0</v>
      </c>
      <c r="Q34" s="611"/>
      <c r="R34" s="611"/>
      <c r="S34" s="611"/>
      <c r="T34" s="1153"/>
      <c r="U34" s="260"/>
      <c r="V34" s="260"/>
      <c r="W34" s="260"/>
      <c r="X34" s="260"/>
      <c r="Y34" s="255"/>
      <c r="Z34" s="356"/>
      <c r="AA34" s="356"/>
      <c r="AB34" s="356"/>
      <c r="AC34" s="356"/>
      <c r="AD34" s="1194">
        <f t="shared" si="0"/>
        <v>0</v>
      </c>
      <c r="AE34" s="1195">
        <f t="shared" si="1"/>
        <v>1</v>
      </c>
      <c r="AF34" s="1196">
        <f t="shared" si="3"/>
        <v>0</v>
      </c>
      <c r="AG34" s="1182">
        <f t="shared" si="2"/>
        <v>0</v>
      </c>
      <c r="AH34" s="356"/>
      <c r="AI34" s="356"/>
      <c r="AJ34" s="356"/>
      <c r="AK34" s="356"/>
      <c r="AL34" s="356"/>
      <c r="AM34" s="356"/>
      <c r="AN34" s="356"/>
      <c r="AO34" s="356"/>
      <c r="AP34" s="356"/>
      <c r="AQ34" s="356"/>
    </row>
    <row r="35" spans="1:43" ht="23.1" customHeight="1">
      <c r="A35" s="412"/>
      <c r="B35" s="874"/>
      <c r="C35" s="15" t="s">
        <v>238</v>
      </c>
      <c r="D35" s="1224" t="s">
        <v>239</v>
      </c>
      <c r="E35" s="1224"/>
      <c r="F35" s="1224"/>
      <c r="G35" s="722" t="s">
        <v>203</v>
      </c>
      <c r="H35" s="265">
        <v>45194</v>
      </c>
      <c r="I35" s="265" t="s">
        <v>216</v>
      </c>
      <c r="J35" s="875"/>
      <c r="K35" s="412"/>
      <c r="L35" s="1149" t="str">
        <f t="shared" si="4"/>
        <v/>
      </c>
      <c r="M35" s="611"/>
      <c r="N35" s="611"/>
      <c r="O35" s="1151">
        <f t="shared" si="5"/>
        <v>0</v>
      </c>
      <c r="P35" s="1151">
        <f t="shared" si="6"/>
        <v>0</v>
      </c>
      <c r="Q35" s="1153"/>
      <c r="R35" s="1153"/>
      <c r="S35" s="1153"/>
      <c r="T35" s="1153"/>
      <c r="U35" s="260"/>
      <c r="V35" s="260"/>
      <c r="W35" s="260"/>
      <c r="X35" s="260"/>
      <c r="Y35" s="255"/>
      <c r="Z35" s="356"/>
      <c r="AA35" s="356"/>
      <c r="AB35" s="356"/>
      <c r="AC35" s="356"/>
      <c r="AD35" s="1194">
        <f t="shared" si="0"/>
        <v>0</v>
      </c>
      <c r="AE35" s="1195">
        <f t="shared" si="1"/>
        <v>1</v>
      </c>
      <c r="AF35" s="1196">
        <f t="shared" si="3"/>
        <v>0</v>
      </c>
      <c r="AG35" s="1182">
        <f t="shared" si="2"/>
        <v>0</v>
      </c>
      <c r="AH35" s="356"/>
      <c r="AI35" s="356"/>
      <c r="AJ35" s="356"/>
      <c r="AK35" s="356"/>
      <c r="AL35" s="356"/>
      <c r="AM35" s="356"/>
      <c r="AN35" s="356"/>
      <c r="AO35" s="356"/>
      <c r="AP35" s="356"/>
      <c r="AQ35" s="356"/>
    </row>
    <row r="36" spans="1:43" ht="23.1" customHeight="1">
      <c r="A36" s="412"/>
      <c r="B36" s="874"/>
      <c r="C36" s="15" t="s">
        <v>240</v>
      </c>
      <c r="D36" s="1224" t="s">
        <v>241</v>
      </c>
      <c r="E36" s="1224"/>
      <c r="F36" s="1224"/>
      <c r="G36" s="722" t="s">
        <v>98</v>
      </c>
      <c r="H36" s="265">
        <v>45194</v>
      </c>
      <c r="I36" s="265" t="s">
        <v>216</v>
      </c>
      <c r="J36" s="875"/>
      <c r="K36" s="412"/>
      <c r="L36" s="1149" t="str">
        <f t="shared" si="4"/>
        <v/>
      </c>
      <c r="M36" s="611"/>
      <c r="N36" s="611"/>
      <c r="O36" s="1151">
        <f t="shared" si="5"/>
        <v>0</v>
      </c>
      <c r="P36" s="1151">
        <f t="shared" si="6"/>
        <v>0</v>
      </c>
      <c r="Q36" s="1153"/>
      <c r="R36" s="1153"/>
      <c r="S36" s="1153"/>
      <c r="T36" s="1153"/>
      <c r="U36" s="260"/>
      <c r="V36" s="260"/>
      <c r="W36" s="260"/>
      <c r="X36" s="260"/>
      <c r="Y36" s="261"/>
      <c r="Z36" s="356"/>
      <c r="AA36" s="356"/>
      <c r="AB36" s="356"/>
      <c r="AC36" s="356"/>
      <c r="AD36" s="1194">
        <f t="shared" si="0"/>
        <v>1</v>
      </c>
      <c r="AE36" s="1195">
        <f t="shared" si="1"/>
        <v>0</v>
      </c>
      <c r="AF36" s="1196">
        <f t="shared" si="3"/>
        <v>0</v>
      </c>
      <c r="AG36" s="1182">
        <f t="shared" si="2"/>
        <v>0</v>
      </c>
      <c r="AH36" s="356"/>
      <c r="AI36" s="356"/>
      <c r="AJ36" s="356"/>
      <c r="AK36" s="356"/>
      <c r="AL36" s="356"/>
      <c r="AM36" s="356"/>
      <c r="AN36" s="356"/>
      <c r="AO36" s="356"/>
      <c r="AP36" s="356"/>
      <c r="AQ36" s="356"/>
    </row>
    <row r="37" spans="1:43" ht="23.1" customHeight="1">
      <c r="A37" s="412"/>
      <c r="B37" s="874"/>
      <c r="C37" s="15" t="s">
        <v>242</v>
      </c>
      <c r="D37" s="1224"/>
      <c r="E37" s="1224"/>
      <c r="F37" s="1224"/>
      <c r="G37" s="722"/>
      <c r="H37" s="265"/>
      <c r="I37" s="265"/>
      <c r="J37" s="875"/>
      <c r="K37" s="412"/>
      <c r="L37" s="1149" t="str">
        <f t="shared" si="4"/>
        <v/>
      </c>
      <c r="M37" s="611"/>
      <c r="N37" s="611"/>
      <c r="O37" s="1151">
        <f t="shared" si="5"/>
        <v>0</v>
      </c>
      <c r="P37" s="1151">
        <f t="shared" si="6"/>
        <v>0</v>
      </c>
      <c r="Q37" s="1153"/>
      <c r="R37" s="1153"/>
      <c r="S37" s="1153"/>
      <c r="T37" s="1153"/>
      <c r="U37" s="260"/>
      <c r="V37" s="260"/>
      <c r="W37" s="260"/>
      <c r="X37" s="260"/>
      <c r="Y37" s="261"/>
      <c r="Z37" s="356"/>
      <c r="AA37" s="356"/>
      <c r="AB37" s="356"/>
      <c r="AC37" s="356"/>
      <c r="AD37" s="1194">
        <f t="shared" si="0"/>
        <v>0</v>
      </c>
      <c r="AE37" s="1195">
        <f t="shared" si="1"/>
        <v>0</v>
      </c>
      <c r="AF37" s="1196">
        <f t="shared" si="3"/>
        <v>0</v>
      </c>
      <c r="AG37" s="1182">
        <f t="shared" si="2"/>
        <v>0</v>
      </c>
      <c r="AH37" s="356"/>
      <c r="AI37" s="356"/>
      <c r="AJ37" s="356"/>
      <c r="AK37" s="356"/>
      <c r="AL37" s="356"/>
      <c r="AM37" s="356"/>
      <c r="AN37" s="356"/>
      <c r="AO37" s="356"/>
      <c r="AP37" s="356"/>
      <c r="AQ37" s="356"/>
    </row>
    <row r="38" spans="1:43" ht="23.1" customHeight="1">
      <c r="A38" s="412"/>
      <c r="B38" s="874"/>
      <c r="C38" s="15" t="s">
        <v>243</v>
      </c>
      <c r="D38" s="1224"/>
      <c r="E38" s="1224"/>
      <c r="F38" s="1224"/>
      <c r="G38" s="722"/>
      <c r="H38" s="265"/>
      <c r="I38" s="265"/>
      <c r="J38" s="875"/>
      <c r="K38" s="412"/>
      <c r="L38" s="1149" t="str">
        <f t="shared" si="4"/>
        <v/>
      </c>
      <c r="M38" s="611"/>
      <c r="N38" s="611"/>
      <c r="O38" s="1151">
        <f t="shared" si="5"/>
        <v>0</v>
      </c>
      <c r="P38" s="1151">
        <f t="shared" si="6"/>
        <v>0</v>
      </c>
      <c r="Q38" s="1153"/>
      <c r="R38" s="1153"/>
      <c r="S38" s="1153"/>
      <c r="T38" s="611"/>
      <c r="U38" s="254"/>
      <c r="V38" s="254"/>
      <c r="W38" s="254"/>
      <c r="X38" s="254"/>
      <c r="Y38" s="261"/>
      <c r="Z38" s="356">
        <f>SUM(Z23:Z37)</f>
        <v>0</v>
      </c>
      <c r="AA38" s="356"/>
      <c r="AB38" s="356"/>
      <c r="AC38" s="356"/>
      <c r="AD38" s="1197">
        <f t="shared" si="0"/>
        <v>0</v>
      </c>
      <c r="AE38" s="1198">
        <f t="shared" si="1"/>
        <v>0</v>
      </c>
      <c r="AF38" s="1199">
        <f t="shared" si="3"/>
        <v>0</v>
      </c>
      <c r="AG38" s="1190">
        <f t="shared" si="2"/>
        <v>0</v>
      </c>
      <c r="AH38" s="356"/>
      <c r="AI38" s="356"/>
      <c r="AJ38" s="356"/>
      <c r="AK38" s="356"/>
      <c r="AL38" s="356"/>
      <c r="AM38" s="356"/>
      <c r="AN38" s="356"/>
      <c r="AO38" s="356"/>
      <c r="AP38" s="356"/>
      <c r="AQ38" s="356"/>
    </row>
    <row r="39" spans="1:43" ht="23.1" customHeight="1">
      <c r="A39" s="412"/>
      <c r="B39" s="874"/>
      <c r="C39" s="16"/>
      <c r="D39" s="709"/>
      <c r="E39" s="709"/>
      <c r="F39" s="709"/>
      <c r="G39" s="709"/>
      <c r="H39" s="18"/>
      <c r="I39" s="18"/>
      <c r="J39" s="875"/>
      <c r="K39" s="412"/>
      <c r="L39" s="1154"/>
      <c r="M39" s="611"/>
      <c r="N39" s="611"/>
      <c r="O39" s="611"/>
      <c r="P39" s="611"/>
      <c r="Q39" s="611"/>
      <c r="R39" s="611"/>
      <c r="S39" s="611"/>
      <c r="T39" s="1153"/>
      <c r="U39" s="260"/>
      <c r="V39" s="260"/>
      <c r="W39" s="260"/>
      <c r="X39" s="260"/>
      <c r="Y39" s="261"/>
      <c r="Z39" s="356"/>
      <c r="AA39" s="356"/>
      <c r="AB39" s="356"/>
      <c r="AC39" s="356"/>
      <c r="AD39" s="356"/>
      <c r="AE39" s="356"/>
      <c r="AF39" s="356"/>
      <c r="AG39" s="356"/>
      <c r="AH39" s="356"/>
      <c r="AI39" s="356"/>
      <c r="AJ39" s="356"/>
      <c r="AK39" s="356"/>
      <c r="AL39" s="356"/>
      <c r="AM39" s="356"/>
      <c r="AN39" s="356"/>
      <c r="AO39" s="356"/>
      <c r="AP39" s="356"/>
      <c r="AQ39" s="356"/>
    </row>
    <row r="40" spans="1:43" ht="23.1" customHeight="1">
      <c r="A40" s="412"/>
      <c r="B40" s="874"/>
      <c r="C40" s="1226" t="s">
        <v>244</v>
      </c>
      <c r="D40" s="1226"/>
      <c r="E40" s="1225" t="s">
        <v>245</v>
      </c>
      <c r="F40" s="1225"/>
      <c r="G40" s="1225"/>
      <c r="H40" s="1225"/>
      <c r="I40" s="1175"/>
      <c r="J40" s="875"/>
      <c r="K40" s="412"/>
      <c r="L40" s="1149"/>
      <c r="M40" s="611"/>
      <c r="N40" s="611"/>
      <c r="O40" s="611"/>
      <c r="P40" s="611"/>
      <c r="Q40" s="611"/>
      <c r="R40" s="611"/>
      <c r="S40" s="611"/>
      <c r="T40" s="611"/>
      <c r="U40" s="254"/>
      <c r="V40" s="254"/>
      <c r="W40" s="254"/>
      <c r="X40" s="254"/>
      <c r="Y40" s="255"/>
      <c r="Z40" s="412"/>
      <c r="AA40" s="356"/>
      <c r="AB40" s="356"/>
      <c r="AC40" s="356"/>
      <c r="AD40" s="1200">
        <f>IF(E40="",1,0)</f>
        <v>0</v>
      </c>
      <c r="AE40" s="356"/>
      <c r="AF40" s="356"/>
      <c r="AG40" s="356"/>
      <c r="AH40" s="356"/>
      <c r="AI40" s="356"/>
      <c r="AJ40" s="356"/>
      <c r="AK40" s="356"/>
      <c r="AL40" s="356"/>
      <c r="AM40" s="356"/>
      <c r="AN40" s="356"/>
      <c r="AO40" s="356"/>
      <c r="AP40" s="356"/>
      <c r="AQ40" s="356"/>
    </row>
    <row r="41" spans="1:43" ht="23.1" customHeight="1">
      <c r="A41" s="412"/>
      <c r="B41" s="874"/>
      <c r="C41" s="1227" t="s">
        <v>246</v>
      </c>
      <c r="D41" s="1227"/>
      <c r="E41" s="1224" t="s">
        <v>247</v>
      </c>
      <c r="F41" s="1224"/>
      <c r="G41" s="1224" t="s">
        <v>247</v>
      </c>
      <c r="H41" s="1224"/>
      <c r="I41" s="1175"/>
      <c r="J41" s="875"/>
      <c r="K41" s="412"/>
      <c r="L41" s="1149"/>
      <c r="M41" s="611"/>
      <c r="N41" s="611"/>
      <c r="O41" s="611"/>
      <c r="P41" s="611"/>
      <c r="Q41" s="611"/>
      <c r="R41" s="611"/>
      <c r="S41" s="611"/>
      <c r="T41" s="611"/>
      <c r="U41" s="254"/>
      <c r="V41" s="254"/>
      <c r="W41" s="254"/>
      <c r="X41" s="254"/>
      <c r="Y41" s="255"/>
      <c r="Z41" s="412"/>
      <c r="AA41" s="356"/>
      <c r="AB41" s="356"/>
      <c r="AC41" s="356"/>
      <c r="AD41" s="1201">
        <f>IF(E41="",1,0)</f>
        <v>0</v>
      </c>
      <c r="AE41" s="356"/>
      <c r="AF41" s="356"/>
      <c r="AG41" s="356"/>
      <c r="AH41" s="356"/>
      <c r="AI41" s="356"/>
      <c r="AJ41" s="356"/>
      <c r="AK41" s="356"/>
      <c r="AL41" s="356"/>
      <c r="AM41" s="356"/>
      <c r="AN41" s="356"/>
      <c r="AO41" s="356"/>
      <c r="AP41" s="356"/>
      <c r="AQ41" s="356"/>
    </row>
    <row r="42" spans="1:43" ht="23.1" customHeight="1" thickBot="1">
      <c r="A42" s="412"/>
      <c r="B42" s="879"/>
      <c r="C42" s="880"/>
      <c r="D42" s="880"/>
      <c r="E42" s="880"/>
      <c r="F42" s="880"/>
      <c r="G42" s="889"/>
      <c r="H42" s="880"/>
      <c r="I42" s="880"/>
      <c r="J42" s="881"/>
      <c r="K42" s="412"/>
      <c r="L42" s="1155"/>
      <c r="M42" s="1156"/>
      <c r="N42" s="1156"/>
      <c r="O42" s="1156"/>
      <c r="P42" s="1156"/>
      <c r="Q42" s="1156"/>
      <c r="R42" s="1156"/>
      <c r="S42" s="1156"/>
      <c r="T42" s="1156"/>
      <c r="U42" s="262"/>
      <c r="V42" s="262"/>
      <c r="W42" s="262"/>
      <c r="X42" s="262"/>
      <c r="Y42" s="263"/>
      <c r="Z42" s="412"/>
      <c r="AA42" s="356"/>
      <c r="AB42" s="356"/>
      <c r="AC42" s="356"/>
      <c r="AD42" s="356"/>
      <c r="AE42" s="356"/>
      <c r="AF42" s="356"/>
      <c r="AG42" s="356"/>
      <c r="AH42" s="356"/>
      <c r="AI42" s="356"/>
      <c r="AJ42" s="356"/>
      <c r="AK42" s="356"/>
      <c r="AL42" s="356"/>
      <c r="AM42" s="356"/>
      <c r="AN42" s="356"/>
      <c r="AO42" s="356"/>
      <c r="AP42" s="356"/>
      <c r="AQ42" s="356"/>
    </row>
    <row r="43" spans="1:43" ht="23.1" customHeight="1">
      <c r="A43" s="412"/>
      <c r="B43" s="412"/>
      <c r="C43" s="412"/>
      <c r="D43" s="412"/>
      <c r="E43" s="412"/>
      <c r="F43" s="412"/>
      <c r="G43" s="890"/>
      <c r="H43" s="412"/>
      <c r="I43" s="412"/>
      <c r="J43" s="412"/>
      <c r="K43" s="412" t="s">
        <v>248</v>
      </c>
      <c r="L43" s="412"/>
      <c r="M43" s="412"/>
      <c r="N43" s="412"/>
      <c r="O43" s="412"/>
      <c r="P43" s="412"/>
      <c r="Q43" s="412"/>
      <c r="R43" s="412"/>
      <c r="S43" s="412"/>
      <c r="T43" s="412"/>
      <c r="U43" s="412"/>
      <c r="V43" s="412"/>
      <c r="W43" s="412"/>
      <c r="X43" s="412"/>
      <c r="Y43" s="412"/>
      <c r="Z43" s="412"/>
      <c r="AA43" s="356"/>
      <c r="AB43" s="356"/>
      <c r="AC43" s="356"/>
      <c r="AD43" s="356"/>
      <c r="AE43" s="356"/>
      <c r="AF43" s="356"/>
      <c r="AG43" s="356"/>
      <c r="AH43" s="356"/>
      <c r="AI43" s="356"/>
      <c r="AJ43" s="356"/>
      <c r="AK43" s="356"/>
      <c r="AL43" s="356"/>
      <c r="AM43" s="356"/>
      <c r="AN43" s="356"/>
      <c r="AO43" s="356"/>
      <c r="AP43" s="356"/>
      <c r="AQ43" s="356"/>
    </row>
    <row r="44" spans="1:43" s="23" customFormat="1" ht="15">
      <c r="C44" s="19" t="s">
        <v>98</v>
      </c>
      <c r="G44" s="24"/>
      <c r="H44" s="22" t="s">
        <v>249</v>
      </c>
      <c r="I44" s="22"/>
      <c r="L44" s="412"/>
      <c r="M44" s="412"/>
      <c r="N44" s="412"/>
      <c r="O44" s="412"/>
      <c r="P44" s="412"/>
      <c r="Q44" s="412"/>
      <c r="R44" s="412"/>
      <c r="S44" s="412"/>
      <c r="T44" s="412"/>
      <c r="U44" s="412"/>
      <c r="V44" s="412"/>
      <c r="W44" s="412"/>
      <c r="X44" s="412"/>
      <c r="Y44" s="412"/>
      <c r="Z44" s="412"/>
      <c r="AA44" s="1202"/>
      <c r="AB44" s="1202"/>
      <c r="AC44" s="1202"/>
      <c r="AD44" s="1202"/>
      <c r="AE44" s="1202"/>
      <c r="AF44" s="1202"/>
      <c r="AG44" s="1202"/>
      <c r="AH44" s="1202"/>
      <c r="AI44" s="1202"/>
      <c r="AJ44" s="1202"/>
      <c r="AK44" s="1202"/>
      <c r="AL44" s="1202"/>
      <c r="AM44" s="1202"/>
      <c r="AN44" s="1202"/>
      <c r="AO44" s="1202"/>
      <c r="AP44" s="1202"/>
      <c r="AQ44" s="1202"/>
    </row>
    <row r="45" spans="1:43" s="23" customFormat="1" ht="15">
      <c r="C45" s="19" t="s">
        <v>100</v>
      </c>
      <c r="G45" s="24"/>
      <c r="L45" s="412"/>
      <c r="M45" s="412"/>
      <c r="N45" s="412"/>
      <c r="O45" s="412"/>
      <c r="P45" s="412"/>
      <c r="Q45" s="412"/>
      <c r="R45" s="412"/>
      <c r="S45" s="412"/>
      <c r="T45" s="412"/>
      <c r="U45" s="412"/>
      <c r="V45" s="412"/>
      <c r="W45" s="412"/>
      <c r="X45" s="412"/>
      <c r="Y45" s="412"/>
      <c r="Z45" s="412"/>
      <c r="AA45" s="1202"/>
      <c r="AB45" s="1202"/>
      <c r="AC45" s="1202"/>
      <c r="AD45" s="1202"/>
      <c r="AE45" s="1202"/>
      <c r="AF45" s="1202"/>
      <c r="AG45" s="1202"/>
      <c r="AH45" s="1202"/>
      <c r="AI45" s="1202"/>
      <c r="AJ45" s="1202"/>
      <c r="AK45" s="1202"/>
      <c r="AL45" s="1202"/>
      <c r="AM45" s="1202"/>
      <c r="AN45" s="1202"/>
      <c r="AO45" s="1202"/>
      <c r="AP45" s="1202"/>
      <c r="AQ45" s="1202"/>
    </row>
    <row r="46" spans="1:43" s="23" customFormat="1" ht="15">
      <c r="C46" s="19" t="s">
        <v>101</v>
      </c>
      <c r="G46" s="24"/>
      <c r="L46" s="412"/>
      <c r="M46" s="412"/>
      <c r="N46" s="412"/>
      <c r="O46" s="412"/>
      <c r="P46" s="412"/>
      <c r="Q46" s="412"/>
      <c r="R46" s="412"/>
      <c r="S46" s="412"/>
      <c r="T46" s="412"/>
      <c r="U46" s="412"/>
      <c r="V46" s="412"/>
      <c r="W46" s="412"/>
      <c r="X46" s="412"/>
      <c r="Y46" s="412"/>
      <c r="Z46" s="412"/>
      <c r="AA46" s="1202"/>
      <c r="AB46" s="1202"/>
      <c r="AC46" s="1202"/>
      <c r="AD46" s="1202"/>
      <c r="AE46" s="1202"/>
      <c r="AF46" s="1202"/>
      <c r="AG46" s="1202"/>
      <c r="AH46" s="1202"/>
      <c r="AI46" s="1202"/>
      <c r="AJ46" s="1202"/>
      <c r="AK46" s="1202"/>
      <c r="AL46" s="1202"/>
      <c r="AM46" s="1202"/>
      <c r="AN46" s="1202"/>
      <c r="AO46" s="1202"/>
      <c r="AP46" s="1202"/>
      <c r="AQ46" s="1202"/>
    </row>
    <row r="47" spans="1:43" s="23" customFormat="1" ht="15">
      <c r="C47" s="19" t="s">
        <v>102</v>
      </c>
      <c r="G47" s="24"/>
      <c r="L47" s="412"/>
      <c r="M47" s="412"/>
      <c r="N47" s="412"/>
      <c r="O47" s="412"/>
      <c r="P47" s="412"/>
      <c r="Q47" s="412"/>
      <c r="R47" s="412"/>
      <c r="S47" s="412"/>
      <c r="T47" s="412"/>
      <c r="U47" s="412"/>
      <c r="V47" s="412"/>
      <c r="W47" s="412"/>
      <c r="X47" s="412"/>
      <c r="Y47" s="412"/>
      <c r="AA47" s="1202"/>
      <c r="AB47" s="1202"/>
      <c r="AC47" s="1202"/>
      <c r="AD47" s="1202"/>
      <c r="AE47" s="1202"/>
      <c r="AF47" s="1202"/>
      <c r="AG47" s="1202"/>
      <c r="AH47" s="1202"/>
      <c r="AI47" s="1202"/>
      <c r="AJ47" s="1202"/>
      <c r="AK47" s="1202"/>
      <c r="AL47" s="1202"/>
      <c r="AM47" s="1202"/>
      <c r="AN47" s="1202"/>
      <c r="AO47" s="1202"/>
      <c r="AP47" s="1202"/>
      <c r="AQ47" s="1202"/>
    </row>
    <row r="48" spans="1:43" s="23" customFormat="1" ht="15">
      <c r="C48" s="19" t="s">
        <v>103</v>
      </c>
      <c r="G48" s="24"/>
      <c r="L48" s="412"/>
      <c r="M48" s="412"/>
      <c r="N48" s="412"/>
      <c r="O48" s="412"/>
      <c r="P48" s="412"/>
      <c r="Q48" s="412"/>
      <c r="R48" s="412"/>
      <c r="S48" s="412"/>
      <c r="T48" s="412"/>
      <c r="U48" s="412"/>
      <c r="V48" s="412"/>
      <c r="W48" s="412"/>
      <c r="X48" s="412"/>
      <c r="Y48" s="412"/>
    </row>
    <row r="49" spans="1:26" s="23" customFormat="1" ht="15">
      <c r="C49" s="19"/>
      <c r="G49" s="24"/>
      <c r="L49" s="412"/>
      <c r="M49" s="412"/>
      <c r="N49" s="412"/>
      <c r="O49" s="412"/>
      <c r="P49" s="412"/>
      <c r="Q49" s="412"/>
      <c r="R49" s="412"/>
      <c r="S49" s="412"/>
      <c r="T49" s="412"/>
      <c r="U49" s="412"/>
      <c r="V49" s="412"/>
      <c r="W49" s="412"/>
      <c r="X49" s="412"/>
      <c r="Y49" s="412"/>
      <c r="Z49" s="412"/>
    </row>
    <row r="50" spans="1:26" s="23" customFormat="1" ht="15">
      <c r="L50" s="412"/>
      <c r="M50" s="412"/>
      <c r="N50" s="412"/>
      <c r="O50" s="412"/>
      <c r="P50" s="412"/>
      <c r="Q50" s="412"/>
      <c r="R50" s="412"/>
      <c r="S50" s="412"/>
      <c r="T50" s="412"/>
      <c r="U50" s="412"/>
      <c r="V50" s="412"/>
      <c r="W50" s="412"/>
      <c r="X50" s="412"/>
      <c r="Y50" s="412"/>
      <c r="Z50" s="412"/>
    </row>
    <row r="51" spans="1:26" s="23" customFormat="1" ht="15">
      <c r="L51" s="412"/>
      <c r="M51" s="412"/>
      <c r="N51" s="412"/>
      <c r="O51" s="412"/>
      <c r="P51" s="412"/>
      <c r="Q51" s="412"/>
      <c r="R51" s="412"/>
      <c r="S51" s="412"/>
      <c r="T51" s="412"/>
      <c r="U51" s="412"/>
      <c r="V51" s="412"/>
      <c r="W51" s="412"/>
      <c r="X51" s="412"/>
      <c r="Y51" s="412"/>
      <c r="Z51" s="412"/>
    </row>
    <row r="52" spans="1:26" ht="23.1" customHeight="1">
      <c r="A52" s="412"/>
      <c r="B52" s="412"/>
      <c r="C52" s="412"/>
      <c r="D52" s="412"/>
      <c r="E52" s="412"/>
      <c r="F52" s="412"/>
      <c r="G52" s="412"/>
      <c r="H52" s="412"/>
      <c r="I52" s="412"/>
      <c r="J52" s="23"/>
      <c r="K52" s="23"/>
      <c r="L52" s="412"/>
      <c r="M52" s="412"/>
      <c r="N52" s="412"/>
      <c r="O52" s="412"/>
      <c r="P52" s="412"/>
      <c r="Q52" s="412"/>
      <c r="R52" s="412"/>
      <c r="S52" s="412"/>
      <c r="T52" s="412"/>
      <c r="U52" s="412"/>
      <c r="V52" s="412"/>
      <c r="W52" s="412"/>
      <c r="X52" s="412"/>
      <c r="Y52" s="412"/>
      <c r="Z52" s="412"/>
    </row>
    <row r="53" spans="1:26" ht="23.1" customHeight="1">
      <c r="A53" s="412"/>
      <c r="B53" s="412"/>
      <c r="C53" s="412"/>
      <c r="D53" s="412"/>
      <c r="E53" s="412"/>
      <c r="F53" s="412"/>
      <c r="G53" s="412"/>
      <c r="H53" s="412"/>
      <c r="I53" s="412"/>
      <c r="J53" s="23"/>
      <c r="K53" s="23"/>
      <c r="L53" s="412"/>
      <c r="M53" s="412"/>
      <c r="N53" s="412"/>
      <c r="O53" s="412"/>
      <c r="P53" s="412"/>
      <c r="Q53" s="412"/>
      <c r="R53" s="412"/>
      <c r="S53" s="412"/>
      <c r="T53" s="412"/>
      <c r="U53" s="412"/>
      <c r="V53" s="412"/>
      <c r="W53" s="412"/>
      <c r="X53" s="412"/>
      <c r="Y53" s="412"/>
      <c r="Z53" s="412"/>
    </row>
    <row r="54" spans="1:26" ht="23.1" customHeight="1">
      <c r="A54" s="412"/>
      <c r="B54" s="412"/>
      <c r="C54" s="412"/>
      <c r="D54" s="412"/>
      <c r="E54" s="412"/>
      <c r="F54" s="412"/>
      <c r="G54" s="412"/>
      <c r="H54" s="412"/>
      <c r="I54" s="412"/>
      <c r="J54" s="23"/>
      <c r="K54" s="23"/>
      <c r="L54" s="412"/>
      <c r="M54" s="412"/>
      <c r="N54" s="412"/>
      <c r="O54" s="412"/>
      <c r="P54" s="412"/>
      <c r="Q54" s="412"/>
      <c r="R54" s="412"/>
      <c r="S54" s="412"/>
      <c r="T54" s="412"/>
      <c r="U54" s="412"/>
      <c r="V54" s="412"/>
      <c r="W54" s="412"/>
      <c r="X54" s="412"/>
      <c r="Y54" s="412"/>
      <c r="Z54" s="412"/>
    </row>
    <row r="55" spans="1:26" ht="23.1" customHeight="1">
      <c r="A55" s="412"/>
      <c r="B55" s="412"/>
      <c r="C55" s="412"/>
      <c r="D55" s="412"/>
      <c r="E55" s="412"/>
      <c r="F55" s="412"/>
      <c r="G55" s="412"/>
      <c r="H55" s="412"/>
      <c r="I55" s="412"/>
      <c r="J55" s="23"/>
      <c r="K55" s="23"/>
      <c r="L55" s="412"/>
      <c r="M55" s="412"/>
      <c r="N55" s="412"/>
      <c r="O55" s="412"/>
      <c r="P55" s="412"/>
      <c r="Q55" s="412"/>
      <c r="R55" s="412"/>
      <c r="S55" s="412"/>
      <c r="T55" s="412"/>
      <c r="U55" s="412"/>
      <c r="V55" s="412"/>
      <c r="W55" s="412"/>
      <c r="X55" s="412"/>
      <c r="Y55" s="412"/>
      <c r="Z55" s="412"/>
    </row>
    <row r="56" spans="1:26" ht="23.1" customHeight="1">
      <c r="A56" s="412"/>
      <c r="B56" s="412"/>
      <c r="C56" s="412"/>
      <c r="D56" s="412"/>
      <c r="E56" s="412"/>
      <c r="F56" s="412"/>
      <c r="G56" s="412"/>
      <c r="H56" s="412"/>
      <c r="I56" s="412"/>
      <c r="J56" s="23"/>
      <c r="K56" s="23"/>
      <c r="L56" s="412"/>
      <c r="M56" s="412"/>
      <c r="N56" s="412"/>
      <c r="O56" s="412"/>
      <c r="P56" s="412"/>
      <c r="Q56" s="412"/>
      <c r="R56" s="412"/>
      <c r="S56" s="412"/>
      <c r="T56" s="412"/>
      <c r="U56" s="412"/>
      <c r="V56" s="412"/>
      <c r="W56" s="412"/>
      <c r="X56" s="412"/>
      <c r="Y56" s="412"/>
      <c r="Z56" s="412"/>
    </row>
    <row r="57" spans="1:26" ht="23.1" customHeight="1">
      <c r="A57" s="412"/>
      <c r="B57" s="412"/>
      <c r="C57" s="391"/>
      <c r="D57" s="412"/>
      <c r="E57" s="412"/>
      <c r="F57" s="412"/>
      <c r="G57" s="890"/>
      <c r="H57" s="412"/>
      <c r="I57" s="412"/>
      <c r="J57" s="23"/>
      <c r="K57" s="23"/>
      <c r="L57" s="412"/>
      <c r="M57" s="412"/>
      <c r="N57" s="412"/>
      <c r="O57" s="412"/>
      <c r="P57" s="412"/>
      <c r="Q57" s="412"/>
      <c r="R57" s="412"/>
      <c r="S57" s="412"/>
      <c r="T57" s="412"/>
      <c r="U57" s="412"/>
      <c r="V57" s="412"/>
      <c r="W57" s="412"/>
      <c r="X57" s="412"/>
      <c r="Y57" s="412"/>
      <c r="Z57" s="412"/>
    </row>
    <row r="58" spans="1:26" ht="23.1" customHeight="1">
      <c r="A58" s="412"/>
      <c r="B58" s="412"/>
      <c r="C58" s="391"/>
      <c r="D58" s="412"/>
      <c r="E58" s="412"/>
      <c r="F58" s="412"/>
      <c r="G58" s="890"/>
      <c r="H58" s="412"/>
      <c r="I58" s="412"/>
      <c r="J58" s="412"/>
      <c r="K58" s="412"/>
      <c r="L58" s="412"/>
      <c r="M58" s="412"/>
      <c r="N58" s="412"/>
      <c r="O58" s="412"/>
      <c r="P58" s="412"/>
      <c r="Q58" s="412"/>
      <c r="R58" s="412"/>
      <c r="S58" s="412"/>
      <c r="T58" s="412"/>
      <c r="U58" s="412"/>
      <c r="V58" s="412"/>
      <c r="W58" s="412"/>
      <c r="X58" s="412"/>
      <c r="Y58" s="412"/>
      <c r="Z58" s="412"/>
    </row>
    <row r="59" spans="1:26" ht="23.1" customHeight="1">
      <c r="A59" s="412"/>
      <c r="B59" s="412"/>
      <c r="C59" s="391"/>
      <c r="D59" s="412"/>
      <c r="E59" s="412"/>
      <c r="F59" s="412"/>
      <c r="G59" s="412"/>
      <c r="H59" s="412"/>
      <c r="I59" s="412"/>
      <c r="J59" s="412"/>
      <c r="K59" s="412"/>
      <c r="L59" s="412"/>
      <c r="M59" s="412"/>
      <c r="N59" s="412"/>
      <c r="O59" s="412"/>
      <c r="P59" s="412"/>
      <c r="Q59" s="412"/>
      <c r="R59" s="412"/>
      <c r="S59" s="412"/>
      <c r="T59" s="412"/>
      <c r="U59" s="412"/>
      <c r="V59" s="412"/>
      <c r="W59" s="412"/>
      <c r="X59" s="412"/>
      <c r="Y59" s="412"/>
      <c r="Z59" s="412"/>
    </row>
    <row r="60" spans="1:26" ht="23.1" customHeight="1">
      <c r="A60" s="412"/>
      <c r="B60" s="412"/>
      <c r="C60" s="391"/>
      <c r="D60" s="412"/>
      <c r="E60" s="412"/>
      <c r="F60" s="412"/>
      <c r="G60" s="412"/>
      <c r="H60" s="412"/>
      <c r="I60" s="412"/>
      <c r="J60" s="412"/>
      <c r="K60" s="412"/>
      <c r="L60" s="412"/>
      <c r="M60" s="412"/>
      <c r="N60" s="412"/>
      <c r="O60" s="412"/>
      <c r="P60" s="412"/>
      <c r="Q60" s="412"/>
      <c r="R60" s="412"/>
      <c r="S60" s="412"/>
      <c r="T60" s="412"/>
      <c r="U60" s="412"/>
      <c r="V60" s="412"/>
      <c r="W60" s="412"/>
      <c r="X60" s="412"/>
      <c r="Y60" s="412"/>
      <c r="Z60" s="412"/>
    </row>
    <row r="61" spans="1:26" ht="23.1" customHeight="1">
      <c r="A61" s="412"/>
      <c r="B61" s="412"/>
      <c r="C61" s="391"/>
      <c r="D61" s="412"/>
      <c r="E61" s="412"/>
      <c r="F61" s="412"/>
      <c r="G61" s="412"/>
      <c r="H61" s="412"/>
      <c r="I61" s="412"/>
      <c r="J61" s="412"/>
      <c r="K61" s="412"/>
      <c r="L61" s="412"/>
      <c r="M61" s="412"/>
      <c r="N61" s="412"/>
      <c r="O61" s="412"/>
      <c r="P61" s="412"/>
      <c r="Q61" s="412"/>
      <c r="R61" s="412"/>
      <c r="S61" s="412"/>
      <c r="T61" s="412"/>
      <c r="U61" s="412"/>
      <c r="V61" s="412"/>
      <c r="W61" s="412"/>
      <c r="X61" s="412"/>
      <c r="Y61" s="412"/>
      <c r="Z61" s="412"/>
    </row>
    <row r="62" spans="1:26" ht="23.1" customHeight="1">
      <c r="A62" s="412"/>
      <c r="B62" s="412"/>
      <c r="C62" s="391"/>
      <c r="D62" s="412"/>
      <c r="E62" s="412"/>
      <c r="F62" s="412"/>
      <c r="G62" s="412"/>
      <c r="H62" s="412"/>
      <c r="I62" s="412"/>
      <c r="J62" s="412"/>
      <c r="K62" s="412"/>
      <c r="L62" s="412"/>
      <c r="M62" s="412"/>
      <c r="N62" s="412"/>
      <c r="O62" s="412"/>
      <c r="P62" s="412"/>
      <c r="Q62" s="412"/>
      <c r="R62" s="412"/>
      <c r="S62" s="412"/>
      <c r="T62" s="412"/>
      <c r="U62" s="412"/>
      <c r="V62" s="412"/>
      <c r="W62" s="412"/>
      <c r="X62" s="412"/>
      <c r="Y62" s="412"/>
      <c r="Z62" s="412"/>
    </row>
    <row r="63" spans="1:26" ht="23.1" customHeight="1">
      <c r="A63" s="412"/>
      <c r="B63" s="412"/>
      <c r="C63" s="391"/>
      <c r="D63" s="412"/>
      <c r="E63" s="412"/>
      <c r="F63" s="412"/>
      <c r="G63" s="412"/>
      <c r="H63" s="412"/>
      <c r="I63" s="412"/>
      <c r="J63" s="412"/>
      <c r="K63" s="412"/>
      <c r="L63" s="412"/>
      <c r="M63" s="412"/>
      <c r="N63" s="412"/>
      <c r="O63" s="412"/>
      <c r="P63" s="412"/>
      <c r="Q63" s="412"/>
      <c r="R63" s="412"/>
      <c r="S63" s="412"/>
      <c r="T63" s="412"/>
      <c r="U63" s="412"/>
      <c r="V63" s="412"/>
      <c r="W63" s="412"/>
      <c r="X63" s="412"/>
      <c r="Y63" s="412"/>
      <c r="Z63" s="412"/>
    </row>
    <row r="64" spans="1:26" ht="23.1" customHeight="1">
      <c r="A64" s="412"/>
      <c r="B64" s="412"/>
      <c r="C64" s="391"/>
      <c r="D64" s="412"/>
      <c r="E64" s="412"/>
      <c r="F64" s="412"/>
      <c r="G64" s="412"/>
      <c r="H64" s="412"/>
      <c r="I64" s="412"/>
      <c r="J64" s="412"/>
      <c r="K64" s="412"/>
      <c r="L64" s="412"/>
      <c r="M64" s="412"/>
      <c r="N64" s="412"/>
      <c r="O64" s="412"/>
      <c r="P64" s="412"/>
      <c r="Q64" s="412"/>
      <c r="R64" s="412"/>
      <c r="S64" s="412"/>
      <c r="T64" s="412"/>
      <c r="U64" s="412"/>
      <c r="V64" s="412"/>
      <c r="W64" s="412"/>
      <c r="X64" s="412"/>
      <c r="Y64" s="412"/>
      <c r="Z64" s="412"/>
    </row>
    <row r="65" spans="3:3" ht="23.1" customHeight="1">
      <c r="C65" s="391"/>
    </row>
    <row r="66" spans="3:3" ht="23.1" customHeight="1">
      <c r="C66" s="391"/>
    </row>
    <row r="67" spans="3:3" ht="23.1" customHeight="1">
      <c r="C67" s="391"/>
    </row>
    <row r="68" spans="3:3" ht="23.1" customHeight="1">
      <c r="C68" s="391"/>
    </row>
    <row r="69" spans="3:3" ht="23.1" customHeight="1">
      <c r="C69" s="391"/>
    </row>
    <row r="70" spans="3:3" ht="23.1" customHeight="1">
      <c r="C70" s="391"/>
    </row>
    <row r="71" spans="3:3" ht="23.1" customHeight="1">
      <c r="C71" s="391"/>
    </row>
    <row r="72" spans="3:3" ht="23.1" customHeight="1">
      <c r="C72" s="391"/>
    </row>
    <row r="73" spans="3:3" ht="23.1" customHeight="1">
      <c r="C73" s="391"/>
    </row>
    <row r="74" spans="3:3" ht="23.1" customHeight="1">
      <c r="C74" s="391"/>
    </row>
    <row r="75" spans="3:3" ht="23.1" customHeight="1">
      <c r="C75" s="391"/>
    </row>
    <row r="76" spans="3:3" ht="23.1" customHeight="1">
      <c r="C76" s="391"/>
    </row>
    <row r="77" spans="3:3" ht="23.1" customHeight="1">
      <c r="C77" s="391"/>
    </row>
    <row r="78" spans="3:3" ht="23.1" customHeight="1">
      <c r="C78" s="391"/>
    </row>
  </sheetData>
  <sheetProtection sheet="1" objects="1" scenarios="1"/>
  <mergeCells count="22">
    <mergeCell ref="D33:F33"/>
    <mergeCell ref="D34:F34"/>
    <mergeCell ref="D35:F35"/>
    <mergeCell ref="E40:H40"/>
    <mergeCell ref="E41:H41"/>
    <mergeCell ref="C40:D40"/>
    <mergeCell ref="C41:D41"/>
    <mergeCell ref="D36:F36"/>
    <mergeCell ref="D37:F37"/>
    <mergeCell ref="D38:F38"/>
    <mergeCell ref="D27:F27"/>
    <mergeCell ref="D28:F28"/>
    <mergeCell ref="D29:F29"/>
    <mergeCell ref="D30:F30"/>
    <mergeCell ref="D31:F31"/>
    <mergeCell ref="D32:F32"/>
    <mergeCell ref="D9:H9"/>
    <mergeCell ref="D23:F23"/>
    <mergeCell ref="D24:F24"/>
    <mergeCell ref="D25:F25"/>
    <mergeCell ref="H6:I7"/>
    <mergeCell ref="D26:F26"/>
  </mergeCells>
  <phoneticPr fontId="5" type="noConversion"/>
  <dataValidations count="1">
    <dataValidation type="list" allowBlank="1" showInputMessage="1" showErrorMessage="1" sqref="G23:G38" xr:uid="{81AFDF60-45A8-4ABE-B153-F55AAFD39A03}">
      <formula1>$AM$19:$AM$22</formula1>
    </dataValidation>
  </dataValidations>
  <printOptions horizontalCentered="1" verticalCentered="1"/>
  <pageMargins left="0.35629921259842523" right="0.35629921259842523" top="0.60629921259842523" bottom="0.60629921259842523" header="0.5" footer="0.5"/>
  <pageSetup paperSize="9" scale="71" orientation="portrait" horizontalDpi="4294967292" verticalDpi="4294967292" r:id="rId1"/>
  <ignoredErrors>
    <ignoredError sqref="O29:O38" unlockedFormula="1"/>
  </ignoredErrors>
  <drawing r:id="rId2"/>
  <tableParts count="1">
    <tablePart r:id="rId3"/>
  </tablePart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0D28D58-AE28-4ABE-9205-F37B88139861}">
  <sheetPr codeName="Hoja4">
    <pageSetUpPr fitToPage="1"/>
  </sheetPr>
  <dimension ref="A2:AG71"/>
  <sheetViews>
    <sheetView topLeftCell="A34" zoomScale="80" zoomScaleNormal="80" workbookViewId="0">
      <selection activeCell="F17" sqref="F17:F36"/>
    </sheetView>
  </sheetViews>
  <sheetFormatPr baseColWidth="10" defaultColWidth="10.6640625" defaultRowHeight="23.1" customHeight="1"/>
  <cols>
    <col min="1" max="1" width="4.109375" style="23" bestFit="1" customWidth="1"/>
    <col min="2" max="2" width="3.109375" style="23" customWidth="1"/>
    <col min="3" max="3" width="13.5546875" style="23" customWidth="1"/>
    <col min="4" max="4" width="16.33203125" style="23" customWidth="1"/>
    <col min="5" max="5" width="14" style="23" customWidth="1"/>
    <col min="6" max="7" width="16.33203125" style="23" customWidth="1"/>
    <col min="8" max="8" width="10.109375" style="23" customWidth="1"/>
    <col min="9" max="9" width="13" style="23" customWidth="1"/>
    <col min="10" max="10" width="10.6640625" style="23"/>
    <col min="11" max="11" width="2" style="23" customWidth="1"/>
    <col min="12" max="12" width="12.6640625" style="23" customWidth="1"/>
    <col min="13" max="15" width="10.6640625" style="23"/>
    <col min="16" max="16" width="30.44140625" style="23" customWidth="1"/>
    <col min="17" max="17" width="3.33203125" style="23" customWidth="1"/>
    <col min="18" max="16384" width="10.6640625" style="23"/>
  </cols>
  <sheetData>
    <row r="2" spans="1:32" ht="23.1" customHeight="1">
      <c r="D2" s="391" t="str">
        <f>_GENERAL!D2</f>
        <v>Área de la Presidenta: Igualdad y Diversidad, Hacienda y Proyectos Estratégicos</v>
      </c>
    </row>
    <row r="3" spans="1:32" ht="23.1" customHeight="1">
      <c r="D3" s="391" t="str">
        <f>_GENERAL!D3</f>
        <v>Dirección Insular de Hacienda</v>
      </c>
    </row>
    <row r="4" spans="1:32" ht="23.1" customHeight="1" thickBot="1">
      <c r="A4" s="23" t="s">
        <v>195</v>
      </c>
    </row>
    <row r="5" spans="1:32" ht="9" customHeight="1">
      <c r="B5" s="25"/>
      <c r="C5" s="26"/>
      <c r="D5" s="26"/>
      <c r="E5" s="26"/>
      <c r="F5" s="26"/>
      <c r="G5" s="26"/>
      <c r="H5" s="26"/>
      <c r="I5" s="26"/>
      <c r="J5" s="26"/>
      <c r="K5" s="26"/>
      <c r="L5" s="26"/>
      <c r="M5" s="26"/>
      <c r="N5" s="26"/>
      <c r="O5" s="26"/>
      <c r="P5" s="26"/>
      <c r="Q5" s="27"/>
      <c r="S5" s="746"/>
      <c r="T5" s="747"/>
      <c r="U5" s="747"/>
      <c r="V5" s="747"/>
      <c r="W5" s="747"/>
      <c r="X5" s="747"/>
      <c r="Y5" s="747"/>
      <c r="Z5" s="747"/>
      <c r="AA5" s="747"/>
      <c r="AB5" s="747"/>
      <c r="AC5" s="747"/>
      <c r="AD5" s="747"/>
      <c r="AE5" s="747"/>
      <c r="AF5" s="748"/>
    </row>
    <row r="6" spans="1:32" ht="30" customHeight="1">
      <c r="B6" s="28"/>
      <c r="C6" s="1" t="s">
        <v>2</v>
      </c>
      <c r="P6" s="1212">
        <f>ejercicio</f>
        <v>2025</v>
      </c>
      <c r="Q6" s="30"/>
      <c r="S6" s="754"/>
      <c r="T6" s="755" t="s">
        <v>196</v>
      </c>
      <c r="U6" s="756"/>
      <c r="V6" s="756"/>
      <c r="W6" s="756"/>
      <c r="X6" s="756"/>
      <c r="Y6" s="756"/>
      <c r="Z6" s="756"/>
      <c r="AA6" s="756"/>
      <c r="AB6" s="756"/>
      <c r="AC6" s="756"/>
      <c r="AD6" s="756"/>
      <c r="AE6" s="756"/>
      <c r="AF6" s="757"/>
    </row>
    <row r="7" spans="1:32" ht="30" customHeight="1">
      <c r="B7" s="28"/>
      <c r="C7" s="1" t="s">
        <v>3</v>
      </c>
      <c r="M7" s="328"/>
      <c r="P7" s="1212"/>
      <c r="Q7" s="30"/>
      <c r="S7" s="754"/>
      <c r="T7" s="756"/>
      <c r="U7" s="756"/>
      <c r="V7" s="756"/>
      <c r="W7" s="756"/>
      <c r="X7" s="756"/>
      <c r="Y7" s="756"/>
      <c r="Z7" s="756"/>
      <c r="AA7" s="756"/>
      <c r="AB7" s="756"/>
      <c r="AC7" s="756"/>
      <c r="AD7" s="756"/>
      <c r="AE7" s="756"/>
      <c r="AF7" s="757"/>
    </row>
    <row r="8" spans="1:32" ht="30" customHeight="1">
      <c r="B8" s="28"/>
      <c r="C8" s="29"/>
      <c r="M8" s="328"/>
      <c r="O8" s="31"/>
      <c r="P8" s="31"/>
      <c r="Q8" s="30"/>
      <c r="S8" s="751"/>
      <c r="T8" s="752"/>
      <c r="U8" s="752"/>
      <c r="V8" s="752"/>
      <c r="W8" s="752"/>
      <c r="X8" s="752"/>
      <c r="Y8" s="752"/>
      <c r="Z8" s="752"/>
      <c r="AA8" s="752"/>
      <c r="AB8" s="752"/>
      <c r="AC8" s="752"/>
      <c r="AD8" s="752"/>
      <c r="AE8" s="752"/>
      <c r="AF8" s="753"/>
    </row>
    <row r="9" spans="1:32" s="36" customFormat="1" ht="30" customHeight="1">
      <c r="A9" s="412"/>
      <c r="B9" s="874"/>
      <c r="C9" s="20" t="s">
        <v>105</v>
      </c>
      <c r="D9" s="1229" t="str">
        <f>Entidad</f>
        <v>(MERCATENERIFE) Mercados Centrales de Abastecimiento de Tenerife, S.A.</v>
      </c>
      <c r="E9" s="1229"/>
      <c r="F9" s="1229"/>
      <c r="G9" s="1229"/>
      <c r="H9" s="1229"/>
      <c r="I9" s="1229"/>
      <c r="J9" s="1229"/>
      <c r="K9" s="1229"/>
      <c r="L9" s="1229"/>
      <c r="M9" s="1229"/>
      <c r="N9" s="1229"/>
      <c r="O9" s="1229"/>
      <c r="P9" s="326"/>
      <c r="Q9" s="875"/>
      <c r="R9" s="412"/>
      <c r="S9" s="751"/>
      <c r="T9" s="752"/>
      <c r="U9" s="752"/>
      <c r="V9" s="752"/>
      <c r="W9" s="752"/>
      <c r="X9" s="752"/>
      <c r="Y9" s="752"/>
      <c r="Z9" s="752"/>
      <c r="AA9" s="752"/>
      <c r="AB9" s="752"/>
      <c r="AC9" s="752"/>
      <c r="AD9" s="752"/>
      <c r="AE9" s="752"/>
      <c r="AF9" s="753"/>
    </row>
    <row r="10" spans="1:32" ht="6.95" customHeight="1">
      <c r="B10" s="28"/>
      <c r="I10" s="328"/>
      <c r="Q10" s="30"/>
      <c r="S10" s="751"/>
      <c r="T10" s="752"/>
      <c r="U10" s="752"/>
      <c r="V10" s="752"/>
      <c r="W10" s="752"/>
      <c r="X10" s="752"/>
      <c r="Y10" s="752"/>
      <c r="Z10" s="752"/>
      <c r="AA10" s="752"/>
      <c r="AB10" s="752"/>
      <c r="AC10" s="752"/>
      <c r="AD10" s="752"/>
      <c r="AE10" s="752"/>
      <c r="AF10" s="753"/>
    </row>
    <row r="11" spans="1:32" s="38" customFormat="1" ht="30" customHeight="1">
      <c r="B11" s="10"/>
      <c r="C11" s="4" t="s">
        <v>250</v>
      </c>
      <c r="D11" s="4"/>
      <c r="E11" s="4"/>
      <c r="F11" s="4"/>
      <c r="G11" s="4"/>
      <c r="H11" s="4"/>
      <c r="I11" s="4"/>
      <c r="J11" s="4"/>
      <c r="K11" s="4"/>
      <c r="L11" s="4"/>
      <c r="M11" s="4"/>
      <c r="N11" s="4"/>
      <c r="O11" s="4"/>
      <c r="P11" s="4"/>
      <c r="Q11" s="37"/>
      <c r="S11" s="751"/>
      <c r="T11" s="752"/>
      <c r="U11" s="752"/>
      <c r="V11" s="752"/>
      <c r="W11" s="752"/>
      <c r="X11" s="752"/>
      <c r="Y11" s="752"/>
      <c r="Z11" s="752"/>
      <c r="AA11" s="752"/>
      <c r="AB11" s="752"/>
      <c r="AC11" s="752"/>
      <c r="AD11" s="752"/>
      <c r="AE11" s="752"/>
      <c r="AF11" s="753"/>
    </row>
    <row r="12" spans="1:32" ht="23.1" customHeight="1">
      <c r="B12" s="28"/>
      <c r="Q12" s="30"/>
      <c r="S12" s="751"/>
      <c r="T12" s="752"/>
      <c r="U12" s="752"/>
      <c r="V12" s="752"/>
      <c r="W12" s="752"/>
      <c r="X12" s="752"/>
      <c r="Y12" s="752"/>
      <c r="Z12" s="752"/>
      <c r="AA12" s="752"/>
      <c r="AB12" s="752"/>
      <c r="AC12" s="752"/>
      <c r="AD12" s="752"/>
      <c r="AE12" s="752"/>
      <c r="AF12" s="753"/>
    </row>
    <row r="13" spans="1:32" ht="23.1" customHeight="1">
      <c r="B13" s="28"/>
      <c r="C13" s="5" t="s">
        <v>251</v>
      </c>
      <c r="D13" s="5"/>
      <c r="E13" s="5"/>
      <c r="F13" s="5"/>
      <c r="G13" s="5"/>
      <c r="H13" s="5"/>
      <c r="I13" s="5"/>
      <c r="J13" s="5"/>
      <c r="K13" s="5"/>
      <c r="L13" s="5"/>
      <c r="M13" s="5"/>
      <c r="N13" s="5"/>
      <c r="O13" s="5"/>
      <c r="P13" s="5"/>
      <c r="Q13" s="30"/>
      <c r="S13" s="751"/>
      <c r="T13" s="752"/>
      <c r="U13" s="752"/>
      <c r="V13" s="752"/>
      <c r="W13" s="752"/>
      <c r="X13" s="752"/>
      <c r="Y13" s="752"/>
      <c r="Z13" s="752"/>
      <c r="AA13" s="752"/>
      <c r="AB13" s="752"/>
      <c r="AC13" s="752"/>
      <c r="AD13" s="752"/>
      <c r="AE13" s="752"/>
      <c r="AF13" s="753"/>
    </row>
    <row r="14" spans="1:32" ht="23.1" customHeight="1">
      <c r="B14" s="28"/>
      <c r="C14" s="29"/>
      <c r="D14" s="29"/>
      <c r="E14" s="29"/>
      <c r="F14" s="29"/>
      <c r="G14" s="29"/>
      <c r="H14" s="29"/>
      <c r="I14" s="29"/>
      <c r="J14" s="29"/>
      <c r="K14" s="29"/>
      <c r="L14" s="29"/>
      <c r="M14" s="29"/>
      <c r="N14" s="29"/>
      <c r="O14" s="29"/>
      <c r="P14" s="29"/>
      <c r="Q14" s="30"/>
      <c r="S14" s="751"/>
      <c r="T14" s="752"/>
      <c r="U14" s="752"/>
      <c r="V14" s="752"/>
      <c r="W14" s="752"/>
      <c r="X14" s="752"/>
      <c r="Y14" s="752"/>
      <c r="Z14" s="752"/>
      <c r="AA14" s="752"/>
      <c r="AB14" s="752"/>
      <c r="AC14" s="752"/>
      <c r="AD14" s="752"/>
      <c r="AE14" s="752"/>
      <c r="AF14" s="753"/>
    </row>
    <row r="15" spans="1:32" ht="23.1" customHeight="1">
      <c r="B15" s="28"/>
      <c r="F15" s="1231" t="s">
        <v>252</v>
      </c>
      <c r="G15" s="1231"/>
      <c r="H15" s="1231"/>
      <c r="I15" s="329">
        <f>ejercicio-2</f>
        <v>2023</v>
      </c>
      <c r="J15" s="330"/>
      <c r="L15" s="1231" t="s">
        <v>253</v>
      </c>
      <c r="M15" s="1231"/>
      <c r="N15" s="1231"/>
      <c r="O15" s="331">
        <f>ejercicio-1</f>
        <v>2024</v>
      </c>
      <c r="P15" s="332"/>
      <c r="Q15" s="30"/>
      <c r="S15" s="751"/>
      <c r="T15" s="752"/>
      <c r="U15" s="752"/>
      <c r="V15" s="752"/>
      <c r="W15" s="752"/>
      <c r="X15" s="752"/>
      <c r="Y15" s="752"/>
      <c r="Z15" s="752"/>
      <c r="AA15" s="752"/>
      <c r="AB15" s="752"/>
      <c r="AC15" s="752"/>
      <c r="AD15" s="752"/>
      <c r="AE15" s="752"/>
      <c r="AF15" s="753"/>
    </row>
    <row r="16" spans="1:32" s="340" customFormat="1" ht="51" customHeight="1">
      <c r="B16" s="333"/>
      <c r="C16" s="334" t="s">
        <v>254</v>
      </c>
      <c r="D16" s="334"/>
      <c r="E16" s="335" t="s">
        <v>255</v>
      </c>
      <c r="F16" s="335" t="s">
        <v>256</v>
      </c>
      <c r="G16" s="335" t="s">
        <v>257</v>
      </c>
      <c r="H16" s="336" t="s">
        <v>258</v>
      </c>
      <c r="I16" s="335" t="s">
        <v>259</v>
      </c>
      <c r="J16" s="335" t="s">
        <v>260</v>
      </c>
      <c r="K16" s="335"/>
      <c r="L16" s="337" t="s">
        <v>261</v>
      </c>
      <c r="M16" s="337" t="s">
        <v>262</v>
      </c>
      <c r="N16" s="337" t="s">
        <v>263</v>
      </c>
      <c r="O16" s="337" t="s">
        <v>264</v>
      </c>
      <c r="P16" s="338" t="s">
        <v>265</v>
      </c>
      <c r="Q16" s="339"/>
      <c r="S16" s="751"/>
      <c r="T16" s="752"/>
      <c r="U16" s="752"/>
      <c r="V16" s="752"/>
      <c r="W16" s="752"/>
      <c r="X16" s="752"/>
      <c r="Y16" s="752"/>
      <c r="Z16" s="752"/>
      <c r="AA16" s="752"/>
      <c r="AB16" s="752"/>
      <c r="AC16" s="752"/>
      <c r="AD16" s="752"/>
      <c r="AE16" s="752"/>
      <c r="AF16" s="753"/>
    </row>
    <row r="17" spans="2:33" ht="23.1" customHeight="1">
      <c r="B17" s="28"/>
      <c r="C17" s="849" t="s">
        <v>266</v>
      </c>
      <c r="D17" s="849"/>
      <c r="E17" s="850" t="s">
        <v>267</v>
      </c>
      <c r="F17" s="266">
        <v>0.42420000000000002</v>
      </c>
      <c r="G17" s="344">
        <v>36232</v>
      </c>
      <c r="H17" s="344"/>
      <c r="I17" s="268">
        <v>60.1</v>
      </c>
      <c r="J17" s="855">
        <f>IFERROR('FC-4_PASIVO'!E16/SUM(G17:G37),"Cumplimentar nº acciones")</f>
        <v>267.46398131563234</v>
      </c>
      <c r="K17" s="268"/>
      <c r="L17" s="268"/>
      <c r="M17" s="268"/>
      <c r="N17" s="268"/>
      <c r="O17" s="268"/>
      <c r="P17" s="268"/>
      <c r="Q17" s="30"/>
      <c r="S17" s="751"/>
      <c r="T17" s="752"/>
      <c r="U17" s="752"/>
      <c r="V17" s="752"/>
      <c r="W17" s="752"/>
      <c r="X17" s="752"/>
      <c r="Y17" s="752"/>
      <c r="Z17" s="752"/>
      <c r="AA17" s="752"/>
      <c r="AB17" s="752"/>
      <c r="AC17" s="752"/>
      <c r="AD17" s="752"/>
      <c r="AE17" s="752"/>
      <c r="AF17" s="753"/>
      <c r="AG17" s="23">
        <f>IF(C17="",1,0)</f>
        <v>0</v>
      </c>
    </row>
    <row r="18" spans="2:33" ht="23.1" customHeight="1">
      <c r="B18" s="28"/>
      <c r="C18" s="724" t="s">
        <v>268</v>
      </c>
      <c r="D18" s="724"/>
      <c r="E18" s="347" t="s">
        <v>269</v>
      </c>
      <c r="F18" s="269">
        <v>0.407824956976785</v>
      </c>
      <c r="G18" s="345">
        <v>34836</v>
      </c>
      <c r="H18" s="345"/>
      <c r="I18" s="271">
        <v>60.1</v>
      </c>
      <c r="J18" s="856">
        <f>IF(C18="","",$J$17)</f>
        <v>267.46398131563234</v>
      </c>
      <c r="K18" s="271"/>
      <c r="L18" s="271"/>
      <c r="M18" s="271"/>
      <c r="N18" s="271"/>
      <c r="O18" s="271"/>
      <c r="P18" s="271"/>
      <c r="Q18" s="30"/>
      <c r="S18" s="751"/>
      <c r="T18" s="752"/>
      <c r="U18" s="752"/>
      <c r="V18" s="752"/>
      <c r="W18" s="752"/>
      <c r="X18" s="752"/>
      <c r="Y18" s="752"/>
      <c r="Z18" s="752"/>
      <c r="AA18" s="752"/>
      <c r="AB18" s="752"/>
      <c r="AC18" s="752"/>
      <c r="AD18" s="752"/>
      <c r="AE18" s="752"/>
      <c r="AF18" s="753"/>
    </row>
    <row r="19" spans="2:33" ht="23.1" customHeight="1">
      <c r="B19" s="28"/>
      <c r="C19" s="724" t="s">
        <v>270</v>
      </c>
      <c r="D19" s="724"/>
      <c r="E19" s="347" t="s">
        <v>271</v>
      </c>
      <c r="F19" s="269">
        <v>0.13076715953125184</v>
      </c>
      <c r="G19" s="345">
        <v>11170</v>
      </c>
      <c r="H19" s="345"/>
      <c r="I19" s="271">
        <v>60.1</v>
      </c>
      <c r="J19" s="856">
        <f t="shared" ref="J19:J37" si="0">IF(C19="","",$J$17)</f>
        <v>267.46398131563234</v>
      </c>
      <c r="K19" s="271"/>
      <c r="L19" s="271"/>
      <c r="M19" s="271"/>
      <c r="N19" s="271"/>
      <c r="O19" s="271"/>
      <c r="P19" s="271"/>
      <c r="Q19" s="30"/>
      <c r="S19" s="751"/>
      <c r="T19" s="752"/>
      <c r="U19" s="752"/>
      <c r="V19" s="752"/>
      <c r="W19" s="752"/>
      <c r="X19" s="752"/>
      <c r="Y19" s="752"/>
      <c r="Z19" s="752"/>
      <c r="AA19" s="752"/>
      <c r="AB19" s="752"/>
      <c r="AC19" s="752"/>
      <c r="AD19" s="752"/>
      <c r="AE19" s="752"/>
      <c r="AF19" s="753"/>
    </row>
    <row r="20" spans="2:33" ht="23.1" customHeight="1">
      <c r="B20" s="28"/>
      <c r="C20" s="724" t="s">
        <v>272</v>
      </c>
      <c r="D20" s="724"/>
      <c r="E20" s="347" t="s">
        <v>273</v>
      </c>
      <c r="F20" s="269">
        <v>1.4891300530326976E-2</v>
      </c>
      <c r="G20" s="345">
        <v>1272</v>
      </c>
      <c r="H20" s="345"/>
      <c r="I20" s="271">
        <v>60.1</v>
      </c>
      <c r="J20" s="856">
        <f t="shared" si="0"/>
        <v>267.46398131563234</v>
      </c>
      <c r="K20" s="271"/>
      <c r="L20" s="271"/>
      <c r="M20" s="271"/>
      <c r="N20" s="271"/>
      <c r="O20" s="271"/>
      <c r="P20" s="271"/>
      <c r="Q20" s="30"/>
      <c r="S20" s="751"/>
      <c r="T20" s="752"/>
      <c r="U20" s="752"/>
      <c r="V20" s="752"/>
      <c r="W20" s="752"/>
      <c r="X20" s="752"/>
      <c r="Y20" s="752"/>
      <c r="Z20" s="752"/>
      <c r="AA20" s="752"/>
      <c r="AB20" s="752"/>
      <c r="AC20" s="752"/>
      <c r="AD20" s="752"/>
      <c r="AE20" s="752"/>
      <c r="AF20" s="753"/>
    </row>
    <row r="21" spans="2:33" ht="23.1" customHeight="1">
      <c r="B21" s="28"/>
      <c r="C21" s="724" t="s">
        <v>274</v>
      </c>
      <c r="D21" s="724"/>
      <c r="E21" s="347" t="s">
        <v>275</v>
      </c>
      <c r="F21" s="269">
        <v>4.6242639225465062E-3</v>
      </c>
      <c r="G21" s="345">
        <v>395</v>
      </c>
      <c r="H21" s="345"/>
      <c r="I21" s="271">
        <v>60.1</v>
      </c>
      <c r="J21" s="856">
        <f t="shared" si="0"/>
        <v>267.46398131563234</v>
      </c>
      <c r="K21" s="271"/>
      <c r="L21" s="271"/>
      <c r="M21" s="271"/>
      <c r="N21" s="271"/>
      <c r="O21" s="271"/>
      <c r="P21" s="271"/>
      <c r="Q21" s="30"/>
      <c r="S21" s="751"/>
      <c r="T21" s="752"/>
      <c r="U21" s="752"/>
      <c r="V21" s="752"/>
      <c r="W21" s="752"/>
      <c r="X21" s="752"/>
      <c r="Y21" s="752"/>
      <c r="Z21" s="752"/>
      <c r="AA21" s="752"/>
      <c r="AB21" s="752"/>
      <c r="AC21" s="752"/>
      <c r="AD21" s="752"/>
      <c r="AE21" s="752"/>
      <c r="AF21" s="753"/>
    </row>
    <row r="22" spans="2:33" ht="23.1" customHeight="1">
      <c r="B22" s="28"/>
      <c r="C22" s="724" t="s">
        <v>276</v>
      </c>
      <c r="D22" s="724"/>
      <c r="E22" s="347" t="s">
        <v>277</v>
      </c>
      <c r="F22" s="269">
        <v>3.055526288062375E-3</v>
      </c>
      <c r="G22" s="345">
        <v>261</v>
      </c>
      <c r="H22" s="345"/>
      <c r="I22" s="271">
        <v>60.1</v>
      </c>
      <c r="J22" s="856">
        <f t="shared" si="0"/>
        <v>267.46398131563234</v>
      </c>
      <c r="K22" s="271"/>
      <c r="L22" s="271"/>
      <c r="M22" s="271"/>
      <c r="N22" s="271"/>
      <c r="O22" s="271"/>
      <c r="P22" s="271"/>
      <c r="Q22" s="30"/>
      <c r="S22" s="751"/>
      <c r="T22" s="752"/>
      <c r="U22" s="752"/>
      <c r="V22" s="752"/>
      <c r="W22" s="752"/>
      <c r="X22" s="752"/>
      <c r="Y22" s="752"/>
      <c r="Z22" s="752"/>
      <c r="AA22" s="752"/>
      <c r="AB22" s="752"/>
      <c r="AC22" s="752"/>
      <c r="AD22" s="752"/>
      <c r="AE22" s="752"/>
      <c r="AF22" s="753"/>
    </row>
    <row r="23" spans="2:33" ht="23.1" customHeight="1">
      <c r="B23" s="28"/>
      <c r="C23" s="724" t="s">
        <v>278</v>
      </c>
      <c r="D23" s="724"/>
      <c r="E23" s="347" t="s">
        <v>279</v>
      </c>
      <c r="F23" s="269">
        <v>2.5755393998993198E-3</v>
      </c>
      <c r="G23" s="345">
        <v>220</v>
      </c>
      <c r="H23" s="345"/>
      <c r="I23" s="271">
        <v>60.1</v>
      </c>
      <c r="J23" s="856">
        <f t="shared" si="0"/>
        <v>267.46398131563234</v>
      </c>
      <c r="K23" s="271"/>
      <c r="L23" s="271"/>
      <c r="M23" s="271"/>
      <c r="N23" s="271"/>
      <c r="O23" s="271"/>
      <c r="P23" s="271"/>
      <c r="Q23" s="30"/>
      <c r="S23" s="751"/>
      <c r="T23" s="752"/>
      <c r="U23" s="752"/>
      <c r="V23" s="752"/>
      <c r="W23" s="752"/>
      <c r="X23" s="752"/>
      <c r="Y23" s="752"/>
      <c r="Z23" s="752"/>
      <c r="AA23" s="752"/>
      <c r="AB23" s="752"/>
      <c r="AC23" s="752"/>
      <c r="AD23" s="752"/>
      <c r="AE23" s="752"/>
      <c r="AF23" s="753"/>
    </row>
    <row r="24" spans="2:33" ht="23.1" customHeight="1">
      <c r="B24" s="28"/>
      <c r="C24" s="724" t="s">
        <v>280</v>
      </c>
      <c r="D24" s="724"/>
      <c r="E24" s="347" t="s">
        <v>281</v>
      </c>
      <c r="F24" s="269">
        <v>1.7794635853849846E-3</v>
      </c>
      <c r="G24" s="345">
        <v>152</v>
      </c>
      <c r="H24" s="345"/>
      <c r="I24" s="271">
        <v>60.1</v>
      </c>
      <c r="J24" s="856">
        <f t="shared" si="0"/>
        <v>267.46398131563234</v>
      </c>
      <c r="K24" s="271"/>
      <c r="L24" s="271"/>
      <c r="M24" s="271"/>
      <c r="N24" s="271"/>
      <c r="O24" s="271"/>
      <c r="P24" s="271"/>
      <c r="Q24" s="30"/>
      <c r="S24" s="751"/>
      <c r="T24" s="752"/>
      <c r="U24" s="752"/>
      <c r="V24" s="752"/>
      <c r="W24" s="752"/>
      <c r="X24" s="752"/>
      <c r="Y24" s="752"/>
      <c r="Z24" s="752"/>
      <c r="AA24" s="752"/>
      <c r="AB24" s="752"/>
      <c r="AC24" s="752"/>
      <c r="AD24" s="752"/>
      <c r="AE24" s="752"/>
      <c r="AF24" s="753"/>
    </row>
    <row r="25" spans="2:33" ht="23.1" customHeight="1">
      <c r="B25" s="28"/>
      <c r="C25" s="724" t="s">
        <v>282</v>
      </c>
      <c r="D25" s="724"/>
      <c r="E25" s="347" t="s">
        <v>283</v>
      </c>
      <c r="F25" s="269">
        <v>1.7677565881127149E-3</v>
      </c>
      <c r="G25" s="345">
        <v>151</v>
      </c>
      <c r="H25" s="345"/>
      <c r="I25" s="271">
        <v>60.1</v>
      </c>
      <c r="J25" s="856">
        <f t="shared" si="0"/>
        <v>267.46398131563234</v>
      </c>
      <c r="K25" s="271"/>
      <c r="L25" s="271"/>
      <c r="M25" s="271"/>
      <c r="N25" s="271"/>
      <c r="O25" s="271"/>
      <c r="P25" s="271"/>
      <c r="Q25" s="30"/>
      <c r="S25" s="751"/>
      <c r="T25" s="752"/>
      <c r="U25" s="752"/>
      <c r="V25" s="752"/>
      <c r="W25" s="752"/>
      <c r="X25" s="752"/>
      <c r="Y25" s="752"/>
      <c r="Z25" s="752"/>
      <c r="AA25" s="752"/>
      <c r="AB25" s="752"/>
      <c r="AC25" s="752"/>
      <c r="AD25" s="752"/>
      <c r="AE25" s="752"/>
      <c r="AF25" s="753"/>
    </row>
    <row r="26" spans="2:33" ht="23.1" customHeight="1">
      <c r="B26" s="28"/>
      <c r="C26" s="724" t="s">
        <v>284</v>
      </c>
      <c r="D26" s="724"/>
      <c r="E26" s="347" t="s">
        <v>285</v>
      </c>
      <c r="F26" s="269">
        <v>1.4399606644891652E-3</v>
      </c>
      <c r="G26" s="345">
        <v>123</v>
      </c>
      <c r="H26" s="345"/>
      <c r="I26" s="271">
        <v>60.1</v>
      </c>
      <c r="J26" s="856">
        <f t="shared" si="0"/>
        <v>267.46398131563234</v>
      </c>
      <c r="K26" s="271"/>
      <c r="L26" s="271"/>
      <c r="M26" s="271"/>
      <c r="N26" s="271"/>
      <c r="O26" s="271"/>
      <c r="P26" s="271"/>
      <c r="Q26" s="30"/>
      <c r="S26" s="751"/>
      <c r="T26" s="752"/>
      <c r="U26" s="752"/>
      <c r="V26" s="752"/>
      <c r="W26" s="752"/>
      <c r="X26" s="752"/>
      <c r="Y26" s="752"/>
      <c r="Z26" s="752"/>
      <c r="AA26" s="752"/>
      <c r="AB26" s="752"/>
      <c r="AC26" s="752"/>
      <c r="AD26" s="752"/>
      <c r="AE26" s="752"/>
      <c r="AF26" s="753"/>
    </row>
    <row r="27" spans="2:33" ht="23.1" customHeight="1">
      <c r="B27" s="28"/>
      <c r="C27" s="724" t="s">
        <v>286</v>
      </c>
      <c r="D27" s="724"/>
      <c r="E27" s="347" t="s">
        <v>287</v>
      </c>
      <c r="F27" s="269">
        <v>1.2526487081328511E-3</v>
      </c>
      <c r="G27" s="345">
        <v>107</v>
      </c>
      <c r="H27" s="345"/>
      <c r="I27" s="271">
        <v>60.1</v>
      </c>
      <c r="J27" s="856">
        <f t="shared" si="0"/>
        <v>267.46398131563234</v>
      </c>
      <c r="K27" s="271"/>
      <c r="L27" s="271"/>
      <c r="M27" s="271"/>
      <c r="N27" s="271"/>
      <c r="O27" s="271"/>
      <c r="P27" s="271"/>
      <c r="Q27" s="30"/>
      <c r="S27" s="751"/>
      <c r="T27" s="752"/>
      <c r="U27" s="752"/>
      <c r="V27" s="752"/>
      <c r="W27" s="752"/>
      <c r="X27" s="752"/>
      <c r="Y27" s="752"/>
      <c r="Z27" s="752"/>
      <c r="AA27" s="752"/>
      <c r="AB27" s="752"/>
      <c r="AC27" s="752"/>
      <c r="AD27" s="752"/>
      <c r="AE27" s="752"/>
      <c r="AF27" s="753"/>
    </row>
    <row r="28" spans="2:33" ht="23.1" customHeight="1">
      <c r="B28" s="28"/>
      <c r="C28" s="724" t="s">
        <v>288</v>
      </c>
      <c r="D28" s="724"/>
      <c r="E28" s="347" t="s">
        <v>289</v>
      </c>
      <c r="F28" s="269">
        <v>1.2058207190437725E-3</v>
      </c>
      <c r="G28" s="345">
        <v>103</v>
      </c>
      <c r="H28" s="345"/>
      <c r="I28" s="271">
        <v>60.1</v>
      </c>
      <c r="J28" s="856">
        <f t="shared" si="0"/>
        <v>267.46398131563234</v>
      </c>
      <c r="K28" s="271"/>
      <c r="L28" s="271"/>
      <c r="M28" s="271"/>
      <c r="N28" s="271"/>
      <c r="O28" s="271"/>
      <c r="P28" s="271"/>
      <c r="Q28" s="30"/>
      <c r="S28" s="751"/>
      <c r="T28" s="752"/>
      <c r="U28" s="752"/>
      <c r="V28" s="752"/>
      <c r="W28" s="752"/>
      <c r="X28" s="752"/>
      <c r="Y28" s="752"/>
      <c r="Z28" s="752"/>
      <c r="AA28" s="752"/>
      <c r="AB28" s="752"/>
      <c r="AC28" s="752"/>
      <c r="AD28" s="752"/>
      <c r="AE28" s="752"/>
      <c r="AF28" s="753"/>
    </row>
    <row r="29" spans="2:33" ht="23.1" customHeight="1">
      <c r="B29" s="28"/>
      <c r="C29" s="724" t="s">
        <v>290</v>
      </c>
      <c r="D29" s="724"/>
      <c r="E29" s="347" t="s">
        <v>291</v>
      </c>
      <c r="F29" s="269">
        <v>9.1314578723703161E-4</v>
      </c>
      <c r="G29" s="345">
        <v>78</v>
      </c>
      <c r="H29" s="345"/>
      <c r="I29" s="271">
        <v>60.1</v>
      </c>
      <c r="J29" s="856">
        <f t="shared" si="0"/>
        <v>267.46398131563234</v>
      </c>
      <c r="K29" s="271"/>
      <c r="L29" s="271"/>
      <c r="M29" s="271"/>
      <c r="N29" s="271"/>
      <c r="O29" s="271"/>
      <c r="P29" s="271"/>
      <c r="Q29" s="30"/>
      <c r="S29" s="751"/>
      <c r="T29" s="752"/>
      <c r="U29" s="752"/>
      <c r="V29" s="752"/>
      <c r="W29" s="752"/>
      <c r="X29" s="752"/>
      <c r="Y29" s="752"/>
      <c r="Z29" s="752"/>
      <c r="AA29" s="752"/>
      <c r="AB29" s="752"/>
      <c r="AC29" s="752"/>
      <c r="AD29" s="752"/>
      <c r="AE29" s="752"/>
      <c r="AF29" s="753"/>
    </row>
    <row r="30" spans="2:33" ht="23.1" customHeight="1">
      <c r="B30" s="28"/>
      <c r="C30" s="724" t="s">
        <v>292</v>
      </c>
      <c r="D30" s="724"/>
      <c r="E30" s="347" t="s">
        <v>293</v>
      </c>
      <c r="F30" s="269">
        <v>9.0143878996476196E-4</v>
      </c>
      <c r="G30" s="345">
        <v>77</v>
      </c>
      <c r="H30" s="345"/>
      <c r="I30" s="271">
        <v>60.1</v>
      </c>
      <c r="J30" s="856">
        <f t="shared" si="0"/>
        <v>267.46398131563234</v>
      </c>
      <c r="K30" s="271"/>
      <c r="L30" s="271"/>
      <c r="M30" s="271"/>
      <c r="N30" s="271"/>
      <c r="O30" s="271"/>
      <c r="P30" s="271"/>
      <c r="Q30" s="30"/>
      <c r="S30" s="751"/>
      <c r="T30" s="752"/>
      <c r="U30" s="752"/>
      <c r="V30" s="752"/>
      <c r="W30" s="752"/>
      <c r="X30" s="752"/>
      <c r="Y30" s="752"/>
      <c r="Z30" s="752"/>
      <c r="AA30" s="752"/>
      <c r="AB30" s="752"/>
      <c r="AC30" s="752"/>
      <c r="AD30" s="752"/>
      <c r="AE30" s="752"/>
      <c r="AF30" s="753"/>
    </row>
    <row r="31" spans="2:33" ht="23.1" customHeight="1">
      <c r="B31" s="28"/>
      <c r="C31" s="724" t="s">
        <v>294</v>
      </c>
      <c r="D31" s="724"/>
      <c r="E31" s="347" t="s">
        <v>295</v>
      </c>
      <c r="F31" s="269">
        <v>7.7266181996979595E-4</v>
      </c>
      <c r="G31" s="345">
        <v>66</v>
      </c>
      <c r="H31" s="345"/>
      <c r="I31" s="271">
        <v>60.1</v>
      </c>
      <c r="J31" s="856">
        <f t="shared" si="0"/>
        <v>267.46398131563234</v>
      </c>
      <c r="K31" s="271"/>
      <c r="L31" s="271"/>
      <c r="M31" s="271"/>
      <c r="N31" s="271"/>
      <c r="O31" s="271"/>
      <c r="P31" s="271"/>
      <c r="Q31" s="30"/>
      <c r="S31" s="751"/>
      <c r="T31" s="752"/>
      <c r="U31" s="752"/>
      <c r="V31" s="752"/>
      <c r="W31" s="752"/>
      <c r="X31" s="752"/>
      <c r="Y31" s="752"/>
      <c r="Z31" s="752"/>
      <c r="AA31" s="752"/>
      <c r="AB31" s="752"/>
      <c r="AC31" s="752"/>
      <c r="AD31" s="752"/>
      <c r="AE31" s="752"/>
      <c r="AF31" s="753"/>
    </row>
    <row r="32" spans="2:33" ht="23.1" customHeight="1">
      <c r="B32" s="28"/>
      <c r="C32" s="724" t="s">
        <v>296</v>
      </c>
      <c r="D32" s="724"/>
      <c r="E32" s="347" t="s">
        <v>297</v>
      </c>
      <c r="F32" s="269">
        <v>6.2047085543029065E-4</v>
      </c>
      <c r="G32" s="345">
        <v>53</v>
      </c>
      <c r="H32" s="345"/>
      <c r="I32" s="271">
        <v>60.1</v>
      </c>
      <c r="J32" s="856">
        <f t="shared" si="0"/>
        <v>267.46398131563234</v>
      </c>
      <c r="K32" s="271"/>
      <c r="L32" s="271"/>
      <c r="M32" s="271"/>
      <c r="N32" s="271"/>
      <c r="O32" s="271"/>
      <c r="P32" s="271"/>
      <c r="Q32" s="30"/>
      <c r="S32" s="751"/>
      <c r="T32" s="752"/>
      <c r="U32" s="752"/>
      <c r="V32" s="752"/>
      <c r="W32" s="752"/>
      <c r="X32" s="752"/>
      <c r="Y32" s="752"/>
      <c r="Z32" s="752"/>
      <c r="AA32" s="752"/>
      <c r="AB32" s="752"/>
      <c r="AC32" s="752"/>
      <c r="AD32" s="752"/>
      <c r="AE32" s="752"/>
      <c r="AF32" s="753"/>
    </row>
    <row r="33" spans="2:32" ht="23.1" customHeight="1">
      <c r="B33" s="28"/>
      <c r="C33" s="724" t="s">
        <v>298</v>
      </c>
      <c r="D33" s="724"/>
      <c r="E33" s="347" t="s">
        <v>299</v>
      </c>
      <c r="F33" s="269">
        <v>5.3852187452440323E-4</v>
      </c>
      <c r="G33" s="345">
        <v>46</v>
      </c>
      <c r="H33" s="345"/>
      <c r="I33" s="271">
        <v>60.1</v>
      </c>
      <c r="J33" s="856">
        <f t="shared" si="0"/>
        <v>267.46398131563234</v>
      </c>
      <c r="K33" s="271"/>
      <c r="L33" s="271"/>
      <c r="M33" s="271"/>
      <c r="N33" s="271"/>
      <c r="O33" s="271"/>
      <c r="P33" s="271"/>
      <c r="Q33" s="30"/>
      <c r="S33" s="751"/>
      <c r="T33" s="752"/>
      <c r="U33" s="752"/>
      <c r="V33" s="752"/>
      <c r="W33" s="752"/>
      <c r="X33" s="752"/>
      <c r="Y33" s="752"/>
      <c r="Z33" s="752"/>
      <c r="AA33" s="752"/>
      <c r="AB33" s="752"/>
      <c r="AC33" s="752"/>
      <c r="AD33" s="752"/>
      <c r="AE33" s="752"/>
      <c r="AF33" s="753"/>
    </row>
    <row r="34" spans="2:32" ht="23.1" customHeight="1">
      <c r="B34" s="28"/>
      <c r="C34" s="724" t="s">
        <v>300</v>
      </c>
      <c r="D34" s="724"/>
      <c r="E34" s="347" t="s">
        <v>301</v>
      </c>
      <c r="F34" s="269">
        <v>5.2681487725213358E-4</v>
      </c>
      <c r="G34" s="345">
        <v>45</v>
      </c>
      <c r="H34" s="345"/>
      <c r="I34" s="271">
        <v>60.1</v>
      </c>
      <c r="J34" s="856">
        <f t="shared" si="0"/>
        <v>267.46398131563234</v>
      </c>
      <c r="K34" s="271"/>
      <c r="L34" s="271"/>
      <c r="M34" s="271"/>
      <c r="N34" s="271"/>
      <c r="O34" s="271"/>
      <c r="P34" s="271"/>
      <c r="Q34" s="30"/>
      <c r="S34" s="751"/>
      <c r="T34" s="752"/>
      <c r="U34" s="752"/>
      <c r="V34" s="752"/>
      <c r="W34" s="752"/>
      <c r="X34" s="752"/>
      <c r="Y34" s="752"/>
      <c r="Z34" s="752"/>
      <c r="AA34" s="752"/>
      <c r="AB34" s="752"/>
      <c r="AC34" s="752"/>
      <c r="AD34" s="752"/>
      <c r="AE34" s="752"/>
      <c r="AF34" s="753"/>
    </row>
    <row r="35" spans="2:32" ht="23.1" customHeight="1">
      <c r="B35" s="28"/>
      <c r="C35" s="724" t="s">
        <v>302</v>
      </c>
      <c r="D35" s="724"/>
      <c r="E35" s="347" t="s">
        <v>303</v>
      </c>
      <c r="F35" s="269">
        <v>2.4584694271766237E-4</v>
      </c>
      <c r="G35" s="345">
        <v>21</v>
      </c>
      <c r="H35" s="345"/>
      <c r="I35" s="271">
        <v>60.1</v>
      </c>
      <c r="J35" s="856">
        <f t="shared" si="0"/>
        <v>267.46398131563234</v>
      </c>
      <c r="K35" s="271"/>
      <c r="L35" s="271"/>
      <c r="M35" s="271"/>
      <c r="N35" s="271"/>
      <c r="O35" s="271"/>
      <c r="P35" s="271"/>
      <c r="Q35" s="30"/>
      <c r="S35" s="751"/>
      <c r="T35" s="752"/>
      <c r="U35" s="752"/>
      <c r="V35" s="752"/>
      <c r="W35" s="752"/>
      <c r="X35" s="752"/>
      <c r="Y35" s="752"/>
      <c r="Z35" s="752"/>
      <c r="AA35" s="752"/>
      <c r="AB35" s="752"/>
      <c r="AC35" s="752"/>
      <c r="AD35" s="752"/>
      <c r="AE35" s="752"/>
      <c r="AF35" s="753"/>
    </row>
    <row r="36" spans="2:32" ht="23.1" customHeight="1">
      <c r="B36" s="28"/>
      <c r="C36" s="724" t="s">
        <v>304</v>
      </c>
      <c r="D36" s="724"/>
      <c r="E36" s="347" t="s">
        <v>305</v>
      </c>
      <c r="F36" s="269">
        <v>1.2877696999496598E-4</v>
      </c>
      <c r="G36" s="345">
        <v>11</v>
      </c>
      <c r="H36" s="345"/>
      <c r="I36" s="271">
        <v>60.1</v>
      </c>
      <c r="J36" s="856">
        <f t="shared" si="0"/>
        <v>267.46398131563234</v>
      </c>
      <c r="K36" s="271"/>
      <c r="L36" s="271"/>
      <c r="M36" s="271"/>
      <c r="N36" s="271"/>
      <c r="O36" s="271"/>
      <c r="P36" s="271"/>
      <c r="Q36" s="30"/>
      <c r="S36" s="751"/>
      <c r="T36" s="752"/>
      <c r="U36" s="752"/>
      <c r="V36" s="752"/>
      <c r="W36" s="752"/>
      <c r="X36" s="752"/>
      <c r="Y36" s="752"/>
      <c r="Z36" s="752"/>
      <c r="AA36" s="752"/>
      <c r="AB36" s="752"/>
      <c r="AC36" s="752"/>
      <c r="AD36" s="752"/>
      <c r="AE36" s="752"/>
      <c r="AF36" s="753"/>
    </row>
    <row r="37" spans="2:32" ht="23.1" customHeight="1">
      <c r="B37" s="28"/>
      <c r="C37" s="724"/>
      <c r="D37" s="724"/>
      <c r="E37" s="347"/>
      <c r="F37" s="269"/>
      <c r="G37" s="345"/>
      <c r="H37" s="345"/>
      <c r="I37" s="271"/>
      <c r="J37" s="856" t="str">
        <f t="shared" si="0"/>
        <v/>
      </c>
      <c r="K37" s="271"/>
      <c r="L37" s="271"/>
      <c r="M37" s="271"/>
      <c r="N37" s="271"/>
      <c r="O37" s="271"/>
      <c r="P37" s="271"/>
      <c r="Q37" s="30"/>
      <c r="S37" s="751"/>
      <c r="T37" s="752"/>
      <c r="U37" s="752"/>
      <c r="V37" s="752"/>
      <c r="W37" s="752"/>
      <c r="X37" s="752"/>
      <c r="Y37" s="752"/>
      <c r="Z37" s="752"/>
      <c r="AA37" s="752"/>
      <c r="AB37" s="752"/>
      <c r="AC37" s="752"/>
      <c r="AD37" s="752"/>
      <c r="AE37" s="752"/>
      <c r="AF37" s="753"/>
    </row>
    <row r="38" spans="2:32" ht="23.1" customHeight="1">
      <c r="B38" s="28"/>
      <c r="Q38" s="30"/>
      <c r="S38" s="751"/>
      <c r="T38" s="752"/>
      <c r="U38" s="752"/>
      <c r="V38" s="752"/>
      <c r="W38" s="752"/>
      <c r="X38" s="752"/>
      <c r="Y38" s="752"/>
      <c r="Z38" s="752"/>
      <c r="AA38" s="752"/>
      <c r="AB38" s="752"/>
      <c r="AC38" s="752"/>
      <c r="AD38" s="752"/>
      <c r="AE38" s="752"/>
      <c r="AF38" s="753"/>
    </row>
    <row r="39" spans="2:32" ht="23.1" customHeight="1">
      <c r="B39" s="28"/>
      <c r="C39" s="5" t="s">
        <v>306</v>
      </c>
      <c r="D39" s="5"/>
      <c r="E39" s="5"/>
      <c r="F39" s="5"/>
      <c r="G39" s="5"/>
      <c r="H39" s="5"/>
      <c r="I39" s="5"/>
      <c r="J39" s="5"/>
      <c r="K39" s="5"/>
      <c r="L39" s="5"/>
      <c r="M39" s="5"/>
      <c r="N39" s="5"/>
      <c r="O39" s="5"/>
      <c r="P39" s="5"/>
      <c r="Q39" s="30"/>
      <c r="S39" s="751"/>
      <c r="T39" s="752"/>
      <c r="U39" s="752"/>
      <c r="V39" s="752"/>
      <c r="W39" s="752"/>
      <c r="X39" s="752"/>
      <c r="Y39" s="752"/>
      <c r="Z39" s="752"/>
      <c r="AA39" s="752"/>
      <c r="AB39" s="752"/>
      <c r="AC39" s="752"/>
      <c r="AD39" s="752"/>
      <c r="AE39" s="752"/>
      <c r="AF39" s="753"/>
    </row>
    <row r="40" spans="2:32" ht="23.1" customHeight="1">
      <c r="B40" s="28"/>
      <c r="C40" s="29"/>
      <c r="D40" s="29"/>
      <c r="E40" s="29"/>
      <c r="F40" s="29"/>
      <c r="G40" s="29"/>
      <c r="H40" s="29"/>
      <c r="I40" s="29"/>
      <c r="J40" s="29"/>
      <c r="K40" s="29"/>
      <c r="L40" s="29"/>
      <c r="M40" s="29"/>
      <c r="N40" s="29"/>
      <c r="O40" s="29"/>
      <c r="P40" s="29"/>
      <c r="Q40" s="30"/>
      <c r="S40" s="751"/>
      <c r="T40" s="752"/>
      <c r="U40" s="752"/>
      <c r="V40" s="752"/>
      <c r="W40" s="752"/>
      <c r="X40" s="752"/>
      <c r="Y40" s="752"/>
      <c r="Z40" s="752"/>
      <c r="AA40" s="752"/>
      <c r="AB40" s="752"/>
      <c r="AC40" s="752"/>
      <c r="AD40" s="752"/>
      <c r="AE40" s="752"/>
      <c r="AF40" s="753"/>
    </row>
    <row r="41" spans="2:32" ht="23.1" customHeight="1">
      <c r="B41" s="28"/>
      <c r="F41" s="1231" t="s">
        <v>252</v>
      </c>
      <c r="G41" s="1231"/>
      <c r="H41" s="1231"/>
      <c r="I41" s="329">
        <f>ejercicio-2</f>
        <v>2023</v>
      </c>
      <c r="J41" s="330"/>
      <c r="L41" s="1232" t="s">
        <v>253</v>
      </c>
      <c r="M41" s="1232"/>
      <c r="N41" s="1232"/>
      <c r="O41" s="341">
        <f>ejercicio-1</f>
        <v>2024</v>
      </c>
      <c r="Q41" s="30"/>
      <c r="S41" s="761"/>
      <c r="T41" s="762"/>
      <c r="U41" s="762"/>
      <c r="V41" s="762"/>
      <c r="W41" s="762"/>
      <c r="X41" s="762"/>
      <c r="Y41" s="762"/>
      <c r="Z41" s="762"/>
      <c r="AA41" s="762"/>
      <c r="AB41" s="762"/>
      <c r="AC41" s="762"/>
      <c r="AD41" s="762"/>
      <c r="AE41" s="762"/>
      <c r="AF41" s="763"/>
    </row>
    <row r="42" spans="2:32" ht="44.1" customHeight="1">
      <c r="B42" s="28"/>
      <c r="C42" s="334" t="s">
        <v>254</v>
      </c>
      <c r="D42" s="334"/>
      <c r="E42" s="335" t="s">
        <v>255</v>
      </c>
      <c r="F42" s="335" t="s">
        <v>256</v>
      </c>
      <c r="G42" s="335" t="s">
        <v>257</v>
      </c>
      <c r="H42" s="336" t="s">
        <v>258</v>
      </c>
      <c r="I42" s="335" t="s">
        <v>259</v>
      </c>
      <c r="J42" s="335" t="s">
        <v>307</v>
      </c>
      <c r="K42" s="335"/>
      <c r="L42" s="335" t="s">
        <v>308</v>
      </c>
      <c r="M42" s="335" t="s">
        <v>262</v>
      </c>
      <c r="N42" s="335" t="s">
        <v>309</v>
      </c>
      <c r="O42" s="335" t="s">
        <v>264</v>
      </c>
      <c r="P42" s="338" t="s">
        <v>265</v>
      </c>
      <c r="Q42" s="30"/>
      <c r="S42" s="761"/>
      <c r="T42" s="762"/>
      <c r="U42" s="762"/>
      <c r="V42" s="762"/>
      <c r="W42" s="762"/>
      <c r="X42" s="762"/>
      <c r="Y42" s="762"/>
      <c r="Z42" s="762"/>
      <c r="AA42" s="762"/>
      <c r="AB42" s="762"/>
      <c r="AC42" s="762"/>
      <c r="AD42" s="762"/>
      <c r="AE42" s="762"/>
      <c r="AF42" s="763"/>
    </row>
    <row r="43" spans="2:32" ht="23.1" customHeight="1">
      <c r="B43" s="28"/>
      <c r="C43" s="723" t="s">
        <v>310</v>
      </c>
      <c r="D43" s="723"/>
      <c r="E43" s="346" t="s">
        <v>311</v>
      </c>
      <c r="F43" s="291">
        <v>1E-8</v>
      </c>
      <c r="G43" s="344">
        <v>4</v>
      </c>
      <c r="H43" s="267"/>
      <c r="I43" s="268">
        <v>120</v>
      </c>
      <c r="J43" s="268">
        <v>0</v>
      </c>
      <c r="K43" s="268"/>
      <c r="L43" s="268"/>
      <c r="M43" s="268"/>
      <c r="N43" s="268"/>
      <c r="O43" s="268"/>
      <c r="P43" s="268"/>
      <c r="Q43" s="30"/>
      <c r="S43" s="761"/>
      <c r="T43" s="762"/>
      <c r="U43" s="762"/>
      <c r="V43" s="762"/>
      <c r="W43" s="762"/>
      <c r="X43" s="762"/>
      <c r="Y43" s="762"/>
      <c r="Z43" s="762"/>
      <c r="AA43" s="762"/>
      <c r="AB43" s="762"/>
      <c r="AC43" s="762"/>
      <c r="AD43" s="762"/>
      <c r="AE43" s="762"/>
      <c r="AF43" s="763"/>
    </row>
    <row r="44" spans="2:32" ht="23.1" customHeight="1">
      <c r="B44" s="28"/>
      <c r="C44" s="724" t="s">
        <v>312</v>
      </c>
      <c r="D44" s="724"/>
      <c r="E44" s="347" t="s">
        <v>313</v>
      </c>
      <c r="F44" s="292"/>
      <c r="G44" s="345"/>
      <c r="H44" s="270"/>
      <c r="I44" s="271">
        <v>601</v>
      </c>
      <c r="J44" s="271">
        <v>150.25</v>
      </c>
      <c r="K44" s="271"/>
      <c r="L44" s="271"/>
      <c r="M44" s="271"/>
      <c r="N44" s="271"/>
      <c r="O44" s="271"/>
      <c r="P44" s="271"/>
      <c r="Q44" s="30"/>
      <c r="S44" s="761"/>
      <c r="T44" s="762"/>
      <c r="U44" s="762"/>
      <c r="V44" s="762"/>
      <c r="W44" s="762"/>
      <c r="X44" s="762"/>
      <c r="Y44" s="762"/>
      <c r="Z44" s="762"/>
      <c r="AA44" s="762"/>
      <c r="AB44" s="762"/>
      <c r="AC44" s="762"/>
      <c r="AD44" s="762"/>
      <c r="AE44" s="762"/>
      <c r="AF44" s="763"/>
    </row>
    <row r="45" spans="2:32" ht="23.1" customHeight="1">
      <c r="B45" s="28"/>
      <c r="C45" s="724"/>
      <c r="D45" s="724"/>
      <c r="E45" s="347"/>
      <c r="F45" s="292"/>
      <c r="G45" s="345"/>
      <c r="H45" s="270"/>
      <c r="I45" s="271"/>
      <c r="J45" s="271"/>
      <c r="K45" s="271"/>
      <c r="L45" s="271"/>
      <c r="M45" s="271"/>
      <c r="N45" s="271"/>
      <c r="O45" s="271"/>
      <c r="P45" s="271"/>
      <c r="Q45" s="30"/>
      <c r="S45" s="761"/>
      <c r="T45" s="762"/>
      <c r="U45" s="762"/>
      <c r="V45" s="762"/>
      <c r="W45" s="762"/>
      <c r="X45" s="762"/>
      <c r="Y45" s="762"/>
      <c r="Z45" s="762"/>
      <c r="AA45" s="762"/>
      <c r="AB45" s="762"/>
      <c r="AC45" s="762"/>
      <c r="AD45" s="762"/>
      <c r="AE45" s="762"/>
      <c r="AF45" s="763"/>
    </row>
    <row r="46" spans="2:32" ht="23.1" customHeight="1">
      <c r="B46" s="28"/>
      <c r="C46" s="724"/>
      <c r="D46" s="724"/>
      <c r="E46" s="347"/>
      <c r="F46" s="292"/>
      <c r="G46" s="345"/>
      <c r="H46" s="270"/>
      <c r="I46" s="271"/>
      <c r="J46" s="271"/>
      <c r="K46" s="271"/>
      <c r="L46" s="271"/>
      <c r="M46" s="271"/>
      <c r="N46" s="271"/>
      <c r="O46" s="271"/>
      <c r="P46" s="271"/>
      <c r="Q46" s="30"/>
      <c r="S46" s="761"/>
      <c r="T46" s="762"/>
      <c r="U46" s="762"/>
      <c r="V46" s="762"/>
      <c r="W46" s="762"/>
      <c r="X46" s="762"/>
      <c r="Y46" s="762"/>
      <c r="Z46" s="762"/>
      <c r="AA46" s="762"/>
      <c r="AB46" s="762"/>
      <c r="AC46" s="762"/>
      <c r="AD46" s="762"/>
      <c r="AE46" s="762"/>
      <c r="AF46" s="763"/>
    </row>
    <row r="47" spans="2:32" ht="23.1" customHeight="1">
      <c r="B47" s="28"/>
      <c r="C47" s="724"/>
      <c r="D47" s="724"/>
      <c r="E47" s="347"/>
      <c r="F47" s="292"/>
      <c r="G47" s="345"/>
      <c r="H47" s="270"/>
      <c r="I47" s="271"/>
      <c r="J47" s="271"/>
      <c r="K47" s="271"/>
      <c r="L47" s="271"/>
      <c r="M47" s="271"/>
      <c r="N47" s="271"/>
      <c r="O47" s="271"/>
      <c r="P47" s="271"/>
      <c r="Q47" s="30"/>
      <c r="S47" s="761"/>
      <c r="T47" s="762"/>
      <c r="U47" s="762"/>
      <c r="V47" s="762"/>
      <c r="W47" s="762"/>
      <c r="X47" s="762"/>
      <c r="Y47" s="762"/>
      <c r="Z47" s="762"/>
      <c r="AA47" s="762"/>
      <c r="AB47" s="762"/>
      <c r="AC47" s="762"/>
      <c r="AD47" s="762"/>
      <c r="AE47" s="762"/>
      <c r="AF47" s="763"/>
    </row>
    <row r="48" spans="2:32" ht="23.1" customHeight="1">
      <c r="B48" s="28"/>
      <c r="C48" s="724"/>
      <c r="D48" s="724"/>
      <c r="E48" s="347"/>
      <c r="F48" s="292"/>
      <c r="G48" s="345"/>
      <c r="H48" s="270"/>
      <c r="I48" s="271"/>
      <c r="J48" s="271"/>
      <c r="K48" s="271"/>
      <c r="L48" s="271"/>
      <c r="M48" s="271"/>
      <c r="N48" s="271"/>
      <c r="O48" s="271"/>
      <c r="P48" s="271"/>
      <c r="Q48" s="30"/>
      <c r="S48" s="761"/>
      <c r="T48" s="762"/>
      <c r="U48" s="762"/>
      <c r="V48" s="762"/>
      <c r="W48" s="762"/>
      <c r="X48" s="762"/>
      <c r="Y48" s="762"/>
      <c r="Z48" s="762"/>
      <c r="AA48" s="762"/>
      <c r="AB48" s="762"/>
      <c r="AC48" s="762"/>
      <c r="AD48" s="762"/>
      <c r="AE48" s="762"/>
      <c r="AF48" s="763"/>
    </row>
    <row r="49" spans="2:33" ht="23.1" customHeight="1">
      <c r="B49" s="28"/>
      <c r="C49" s="724"/>
      <c r="D49" s="724"/>
      <c r="E49" s="347"/>
      <c r="F49" s="292"/>
      <c r="G49" s="345"/>
      <c r="H49" s="270"/>
      <c r="I49" s="271"/>
      <c r="J49" s="271"/>
      <c r="K49" s="271"/>
      <c r="L49" s="271"/>
      <c r="M49" s="271"/>
      <c r="N49" s="271"/>
      <c r="O49" s="271"/>
      <c r="P49" s="271"/>
      <c r="Q49" s="30"/>
      <c r="S49" s="761"/>
      <c r="T49" s="762"/>
      <c r="U49" s="762"/>
      <c r="V49" s="762"/>
      <c r="W49" s="762"/>
      <c r="X49" s="762"/>
      <c r="Y49" s="762"/>
      <c r="Z49" s="762"/>
      <c r="AA49" s="762"/>
      <c r="AB49" s="762"/>
      <c r="AC49" s="762"/>
      <c r="AD49" s="762"/>
      <c r="AE49" s="762"/>
      <c r="AF49" s="763"/>
    </row>
    <row r="50" spans="2:33" ht="23.1" customHeight="1">
      <c r="B50" s="28"/>
      <c r="C50" s="724"/>
      <c r="D50" s="724"/>
      <c r="E50" s="347"/>
      <c r="F50" s="292"/>
      <c r="G50" s="345"/>
      <c r="H50" s="270"/>
      <c r="I50" s="271"/>
      <c r="J50" s="271"/>
      <c r="K50" s="271"/>
      <c r="L50" s="271"/>
      <c r="M50" s="271"/>
      <c r="N50" s="271"/>
      <c r="O50" s="271"/>
      <c r="P50" s="271"/>
      <c r="Q50" s="30"/>
      <c r="S50" s="761"/>
      <c r="T50" s="762"/>
      <c r="U50" s="762"/>
      <c r="V50" s="762"/>
      <c r="W50" s="762"/>
      <c r="X50" s="762"/>
      <c r="Y50" s="762"/>
      <c r="Z50" s="762"/>
      <c r="AA50" s="762"/>
      <c r="AB50" s="762"/>
      <c r="AC50" s="762"/>
      <c r="AD50" s="762"/>
      <c r="AE50" s="762"/>
      <c r="AF50" s="763"/>
    </row>
    <row r="51" spans="2:33" ht="23.1" customHeight="1">
      <c r="B51" s="28"/>
      <c r="C51" s="724"/>
      <c r="D51" s="724"/>
      <c r="E51" s="347"/>
      <c r="F51" s="292"/>
      <c r="G51" s="345"/>
      <c r="H51" s="270"/>
      <c r="I51" s="271"/>
      <c r="J51" s="271"/>
      <c r="K51" s="271"/>
      <c r="L51" s="271"/>
      <c r="M51" s="271"/>
      <c r="N51" s="271"/>
      <c r="O51" s="271"/>
      <c r="P51" s="271"/>
      <c r="Q51" s="30"/>
      <c r="S51" s="761"/>
      <c r="T51" s="762"/>
      <c r="U51" s="762"/>
      <c r="V51" s="762"/>
      <c r="W51" s="762"/>
      <c r="X51" s="762"/>
      <c r="Y51" s="762"/>
      <c r="Z51" s="762"/>
      <c r="AA51" s="762"/>
      <c r="AB51" s="762"/>
      <c r="AC51" s="762"/>
      <c r="AD51" s="762"/>
      <c r="AE51" s="762"/>
      <c r="AF51" s="763"/>
    </row>
    <row r="52" spans="2:33" ht="23.1" customHeight="1">
      <c r="B52" s="28"/>
      <c r="C52" s="724"/>
      <c r="D52" s="724"/>
      <c r="E52" s="347"/>
      <c r="F52" s="292"/>
      <c r="G52" s="345"/>
      <c r="H52" s="270"/>
      <c r="I52" s="271"/>
      <c r="J52" s="271"/>
      <c r="K52" s="271"/>
      <c r="L52" s="271"/>
      <c r="M52" s="271"/>
      <c r="N52" s="271"/>
      <c r="O52" s="271"/>
      <c r="P52" s="271"/>
      <c r="Q52" s="30"/>
      <c r="S52" s="761"/>
      <c r="T52" s="762"/>
      <c r="U52" s="762"/>
      <c r="V52" s="762"/>
      <c r="W52" s="762"/>
      <c r="X52" s="762"/>
      <c r="Y52" s="762"/>
      <c r="Z52" s="762"/>
      <c r="AA52" s="762"/>
      <c r="AB52" s="762"/>
      <c r="AC52" s="762"/>
      <c r="AD52" s="762"/>
      <c r="AE52" s="762"/>
      <c r="AF52" s="763"/>
    </row>
    <row r="53" spans="2:33" ht="23.1" customHeight="1">
      <c r="B53" s="28"/>
      <c r="C53" s="724"/>
      <c r="D53" s="724"/>
      <c r="E53" s="347"/>
      <c r="F53" s="292"/>
      <c r="G53" s="345"/>
      <c r="H53" s="270"/>
      <c r="I53" s="271"/>
      <c r="J53" s="271"/>
      <c r="K53" s="271"/>
      <c r="L53" s="271"/>
      <c r="M53" s="271"/>
      <c r="N53" s="271"/>
      <c r="O53" s="271"/>
      <c r="P53" s="271"/>
      <c r="Q53" s="30"/>
      <c r="S53" s="761"/>
      <c r="T53" s="762"/>
      <c r="U53" s="762"/>
      <c r="V53" s="762"/>
      <c r="W53" s="762"/>
      <c r="X53" s="762"/>
      <c r="Y53" s="762"/>
      <c r="Z53" s="762"/>
      <c r="AA53" s="762"/>
      <c r="AB53" s="762"/>
      <c r="AC53" s="762"/>
      <c r="AD53" s="762"/>
      <c r="AE53" s="762"/>
      <c r="AF53" s="763"/>
    </row>
    <row r="54" spans="2:33" ht="23.1" customHeight="1">
      <c r="B54" s="28"/>
      <c r="Q54" s="30"/>
      <c r="S54" s="761"/>
      <c r="T54" s="762"/>
      <c r="U54" s="762"/>
      <c r="V54" s="762"/>
      <c r="W54" s="762"/>
      <c r="X54" s="762"/>
      <c r="Y54" s="762"/>
      <c r="Z54" s="762"/>
      <c r="AA54" s="762"/>
      <c r="AB54" s="762"/>
      <c r="AC54" s="762"/>
      <c r="AD54" s="762"/>
      <c r="AE54" s="762"/>
      <c r="AF54" s="763"/>
    </row>
    <row r="55" spans="2:33" ht="23.1" customHeight="1">
      <c r="B55" s="28"/>
      <c r="C55" s="5" t="s">
        <v>314</v>
      </c>
      <c r="D55" s="5"/>
      <c r="E55" s="5"/>
      <c r="F55" s="5"/>
      <c r="G55" s="5"/>
      <c r="H55" s="5"/>
      <c r="I55" s="5"/>
      <c r="J55" s="5"/>
      <c r="K55" s="5"/>
      <c r="L55" s="5"/>
      <c r="M55" s="5"/>
      <c r="N55" s="5"/>
      <c r="O55" s="5"/>
      <c r="P55" s="1"/>
      <c r="Q55" s="30"/>
      <c r="S55" s="761"/>
      <c r="T55" s="762"/>
      <c r="U55" s="762"/>
      <c r="V55" s="762"/>
      <c r="W55" s="762"/>
      <c r="X55" s="762"/>
      <c r="Y55" s="762"/>
      <c r="Z55" s="762"/>
      <c r="AA55" s="762"/>
      <c r="AB55" s="762"/>
      <c r="AC55" s="762"/>
      <c r="AD55" s="762"/>
      <c r="AE55" s="762"/>
      <c r="AF55" s="763"/>
    </row>
    <row r="56" spans="2:33" ht="23.1" customHeight="1">
      <c r="B56" s="28"/>
      <c r="C56" s="1"/>
      <c r="D56" s="1"/>
      <c r="E56" s="1"/>
      <c r="F56" s="1"/>
      <c r="G56" s="1"/>
      <c r="H56" s="1"/>
      <c r="I56" s="1"/>
      <c r="J56" s="1"/>
      <c r="K56" s="1"/>
      <c r="L56" s="1"/>
      <c r="M56" s="1"/>
      <c r="N56" s="1"/>
      <c r="O56" s="1"/>
      <c r="P56" s="1"/>
      <c r="Q56" s="30"/>
      <c r="S56" s="761"/>
      <c r="T56" s="762"/>
      <c r="U56" s="762"/>
      <c r="V56" s="762"/>
      <c r="W56" s="762"/>
      <c r="X56" s="762"/>
      <c r="Y56" s="762"/>
      <c r="Z56" s="762"/>
      <c r="AA56" s="762"/>
      <c r="AB56" s="762"/>
      <c r="AC56" s="762"/>
      <c r="AD56" s="762"/>
      <c r="AE56" s="762"/>
      <c r="AF56" s="763"/>
    </row>
    <row r="57" spans="2:33" ht="23.1" customHeight="1">
      <c r="B57" s="28"/>
      <c r="C57" s="1230" t="s">
        <v>315</v>
      </c>
      <c r="D57" s="1230"/>
      <c r="E57" s="334"/>
      <c r="F57" s="335"/>
      <c r="G57" s="342"/>
      <c r="H57" s="342"/>
      <c r="I57" s="342"/>
      <c r="J57" s="342"/>
      <c r="K57" s="342"/>
      <c r="L57" s="342"/>
      <c r="M57" s="342"/>
      <c r="N57" s="342"/>
      <c r="O57" s="342"/>
      <c r="P57" s="342"/>
      <c r="Q57" s="30"/>
      <c r="S57" s="761"/>
      <c r="T57" s="762"/>
      <c r="U57" s="762"/>
      <c r="V57" s="762"/>
      <c r="W57" s="762"/>
      <c r="X57" s="762"/>
      <c r="Y57" s="762"/>
      <c r="Z57" s="762"/>
      <c r="AA57" s="762"/>
      <c r="AB57" s="762"/>
      <c r="AC57" s="762"/>
      <c r="AD57" s="762"/>
      <c r="AE57" s="762"/>
      <c r="AF57" s="763"/>
    </row>
    <row r="58" spans="2:33" ht="23.1" customHeight="1">
      <c r="B58" s="28"/>
      <c r="C58" s="1233" t="s">
        <v>316</v>
      </c>
      <c r="D58" s="1233"/>
      <c r="E58" s="1233"/>
      <c r="F58" s="1233"/>
      <c r="Q58" s="30"/>
      <c r="S58" s="761"/>
      <c r="T58" s="762"/>
      <c r="U58" s="762"/>
      <c r="V58" s="762"/>
      <c r="W58" s="762"/>
      <c r="X58" s="762"/>
      <c r="Y58" s="762"/>
      <c r="Z58" s="762"/>
      <c r="AA58" s="762"/>
      <c r="AB58" s="762"/>
      <c r="AC58" s="762"/>
      <c r="AD58" s="762"/>
      <c r="AE58" s="762"/>
      <c r="AF58" s="763"/>
      <c r="AG58" s="23">
        <f>IF(C58="",1,0)</f>
        <v>0</v>
      </c>
    </row>
    <row r="59" spans="2:33" ht="23.1" customHeight="1">
      <c r="B59" s="28"/>
      <c r="C59" s="65"/>
      <c r="D59" s="65"/>
      <c r="E59" s="65"/>
      <c r="F59" s="65"/>
      <c r="Q59" s="30"/>
      <c r="S59" s="761"/>
      <c r="T59" s="762"/>
      <c r="U59" s="762"/>
      <c r="V59" s="762"/>
      <c r="W59" s="762"/>
      <c r="X59" s="762"/>
      <c r="Y59" s="762"/>
      <c r="Z59" s="762"/>
      <c r="AA59" s="762"/>
      <c r="AB59" s="762"/>
      <c r="AC59" s="762"/>
      <c r="AD59" s="762"/>
      <c r="AE59" s="762"/>
      <c r="AF59" s="763"/>
    </row>
    <row r="60" spans="2:33" ht="23.1" customHeight="1">
      <c r="B60" s="28"/>
      <c r="C60" s="65"/>
      <c r="D60" s="65"/>
      <c r="E60" s="65"/>
      <c r="F60" s="65"/>
      <c r="Q60" s="30"/>
      <c r="S60" s="761"/>
      <c r="T60" s="762"/>
      <c r="U60" s="762"/>
      <c r="V60" s="762"/>
      <c r="W60" s="762"/>
      <c r="X60" s="762"/>
      <c r="Y60" s="762"/>
      <c r="Z60" s="762"/>
      <c r="AA60" s="762"/>
      <c r="AB60" s="762"/>
      <c r="AC60" s="762"/>
      <c r="AD60" s="762"/>
      <c r="AE60" s="762"/>
      <c r="AF60" s="763"/>
    </row>
    <row r="61" spans="2:33" ht="23.1" customHeight="1">
      <c r="B61" s="28"/>
      <c r="C61" s="117" t="s">
        <v>317</v>
      </c>
      <c r="D61" s="65"/>
      <c r="E61" s="65"/>
      <c r="F61" s="65"/>
      <c r="Q61" s="30"/>
      <c r="S61" s="761"/>
      <c r="T61" s="762"/>
      <c r="U61" s="762"/>
      <c r="V61" s="762"/>
      <c r="W61" s="762"/>
      <c r="X61" s="762"/>
      <c r="Y61" s="762"/>
      <c r="Z61" s="762"/>
      <c r="AA61" s="762"/>
      <c r="AB61" s="762"/>
      <c r="AC61" s="762"/>
      <c r="AD61" s="762"/>
      <c r="AE61" s="762"/>
      <c r="AF61" s="763"/>
    </row>
    <row r="62" spans="2:33" ht="23.1" customHeight="1">
      <c r="B62" s="28"/>
      <c r="C62" s="320"/>
      <c r="D62" s="65"/>
      <c r="E62" s="65"/>
      <c r="F62" s="65"/>
      <c r="Q62" s="30"/>
      <c r="S62" s="761"/>
      <c r="T62" s="762"/>
      <c r="U62" s="762"/>
      <c r="V62" s="762"/>
      <c r="W62" s="762"/>
      <c r="X62" s="762"/>
      <c r="Y62" s="762"/>
      <c r="Z62" s="762"/>
      <c r="AA62" s="762"/>
      <c r="AB62" s="762"/>
      <c r="AC62" s="762"/>
      <c r="AD62" s="762"/>
      <c r="AE62" s="762"/>
      <c r="AF62" s="763"/>
    </row>
    <row r="63" spans="2:33" ht="23.1" customHeight="1">
      <c r="B63" s="28"/>
      <c r="C63" s="343" t="s">
        <v>318</v>
      </c>
      <c r="D63" s="65"/>
      <c r="E63" s="65"/>
      <c r="F63" s="65"/>
      <c r="Q63" s="30"/>
      <c r="S63" s="761"/>
      <c r="T63" s="762"/>
      <c r="U63" s="762"/>
      <c r="V63" s="762"/>
      <c r="W63" s="762"/>
      <c r="X63" s="762"/>
      <c r="Y63" s="762"/>
      <c r="Z63" s="762"/>
      <c r="AA63" s="762"/>
      <c r="AB63" s="762"/>
      <c r="AC63" s="762"/>
      <c r="AD63" s="762"/>
      <c r="AE63" s="762"/>
      <c r="AF63" s="763"/>
    </row>
    <row r="64" spans="2:33" ht="23.1" customHeight="1">
      <c r="B64" s="28"/>
      <c r="C64" s="343" t="s">
        <v>319</v>
      </c>
      <c r="D64" s="65"/>
      <c r="E64" s="65"/>
      <c r="F64" s="65"/>
      <c r="Q64" s="30"/>
      <c r="S64" s="761"/>
      <c r="T64" s="762"/>
      <c r="U64" s="762"/>
      <c r="V64" s="762"/>
      <c r="W64" s="762"/>
      <c r="X64" s="762"/>
      <c r="Y64" s="762"/>
      <c r="Z64" s="762"/>
      <c r="AA64" s="762"/>
      <c r="AB64" s="762"/>
      <c r="AC64" s="762"/>
      <c r="AD64" s="762"/>
      <c r="AE64" s="762"/>
      <c r="AF64" s="763"/>
    </row>
    <row r="65" spans="2:32" ht="23.1" customHeight="1" thickBot="1">
      <c r="B65" s="32"/>
      <c r="C65" s="1228"/>
      <c r="D65" s="1228"/>
      <c r="E65" s="1228"/>
      <c r="F65" s="1228"/>
      <c r="G65" s="34"/>
      <c r="H65" s="34"/>
      <c r="I65" s="34"/>
      <c r="J65" s="34"/>
      <c r="K65" s="34"/>
      <c r="L65" s="34"/>
      <c r="M65" s="34"/>
      <c r="N65" s="34"/>
      <c r="O65" s="34"/>
      <c r="P65" s="34"/>
      <c r="Q65" s="35"/>
      <c r="S65" s="764"/>
      <c r="T65" s="765"/>
      <c r="U65" s="765"/>
      <c r="V65" s="765"/>
      <c r="W65" s="765"/>
      <c r="X65" s="765"/>
      <c r="Y65" s="765"/>
      <c r="Z65" s="765"/>
      <c r="AA65" s="765"/>
      <c r="AB65" s="765"/>
      <c r="AC65" s="765"/>
      <c r="AD65" s="765"/>
      <c r="AE65" s="765"/>
      <c r="AF65" s="766"/>
    </row>
    <row r="66" spans="2:32" ht="23.1" customHeight="1">
      <c r="R66" s="23" t="s">
        <v>248</v>
      </c>
    </row>
    <row r="67" spans="2:32" ht="12.75">
      <c r="C67" s="19" t="s">
        <v>98</v>
      </c>
      <c r="P67" s="22" t="s">
        <v>320</v>
      </c>
    </row>
    <row r="68" spans="2:32" ht="12.75">
      <c r="C68" s="19" t="s">
        <v>100</v>
      </c>
    </row>
    <row r="69" spans="2:32" ht="12.75">
      <c r="C69" s="19" t="s">
        <v>101</v>
      </c>
    </row>
    <row r="70" spans="2:32" ht="12.75">
      <c r="C70" s="19" t="s">
        <v>102</v>
      </c>
    </row>
    <row r="71" spans="2:32" ht="12.75">
      <c r="C71" s="19" t="s">
        <v>103</v>
      </c>
    </row>
  </sheetData>
  <sheetProtection sheet="1" insertRows="0"/>
  <mergeCells count="9">
    <mergeCell ref="P6:P7"/>
    <mergeCell ref="C65:F65"/>
    <mergeCell ref="D9:O9"/>
    <mergeCell ref="C57:D57"/>
    <mergeCell ref="L15:N15"/>
    <mergeCell ref="F15:H15"/>
    <mergeCell ref="L41:N41"/>
    <mergeCell ref="F41:H41"/>
    <mergeCell ref="C58:F58"/>
  </mergeCells>
  <phoneticPr fontId="5" type="noConversion"/>
  <printOptions horizontalCentered="1" verticalCentered="1"/>
  <pageMargins left="0.35629921259842523" right="0.35629921259842523" top="0.60629921259842523" bottom="0.60629921259842523" header="0.5" footer="0.5"/>
  <pageSetup paperSize="9" scale="41" orientation="portrait" horizontalDpi="4294967292" verticalDpi="4294967292" r:id="rId1"/>
  <ignoredErrors>
    <ignoredError sqref="J18" unlockedFormula="1"/>
  </ignoredErrors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C1FD09C-8D39-4926-A7BE-4FE4B286360D}">
  <sheetPr codeName="Hoja5">
    <pageSetUpPr fitToPage="1"/>
  </sheetPr>
  <dimension ref="A2:X109"/>
  <sheetViews>
    <sheetView topLeftCell="A40" zoomScaleNormal="100" zoomScalePageLayoutView="50" workbookViewId="0">
      <selection activeCell="H33" sqref="H33"/>
    </sheetView>
  </sheetViews>
  <sheetFormatPr baseColWidth="10" defaultColWidth="10.6640625" defaultRowHeight="23.1" customHeight="1"/>
  <cols>
    <col min="1" max="1" width="4.109375" style="23" bestFit="1" customWidth="1"/>
    <col min="2" max="2" width="3.109375" style="23" customWidth="1"/>
    <col min="3" max="3" width="13.5546875" style="23" customWidth="1"/>
    <col min="4" max="4" width="76.6640625" style="23" customWidth="1"/>
    <col min="5" max="8" width="18.33203125" style="23" customWidth="1"/>
    <col min="9" max="9" width="3.33203125" style="23" customWidth="1"/>
    <col min="10" max="16384" width="10.6640625" style="23"/>
  </cols>
  <sheetData>
    <row r="2" spans="1:24" ht="23.1" customHeight="1">
      <c r="D2" s="391" t="str">
        <f>_GENERAL!D2</f>
        <v>Área de la Presidenta: Igualdad y Diversidad, Hacienda y Proyectos Estratégicos</v>
      </c>
    </row>
    <row r="3" spans="1:24" ht="23.1" customHeight="1">
      <c r="D3" s="391" t="str">
        <f>_GENERAL!D3</f>
        <v>Dirección Insular de Hacienda</v>
      </c>
    </row>
    <row r="4" spans="1:24" ht="23.1" customHeight="1" thickBot="1">
      <c r="A4" s="23" t="s">
        <v>195</v>
      </c>
    </row>
    <row r="5" spans="1:24" ht="9" customHeight="1">
      <c r="B5" s="25"/>
      <c r="C5" s="26"/>
      <c r="D5" s="26"/>
      <c r="E5" s="26"/>
      <c r="F5" s="26"/>
      <c r="G5" s="26"/>
      <c r="H5" s="26"/>
      <c r="I5" s="27"/>
      <c r="K5" s="746"/>
      <c r="L5" s="747"/>
      <c r="M5" s="747"/>
      <c r="N5" s="747"/>
      <c r="O5" s="747"/>
      <c r="P5" s="747"/>
      <c r="Q5" s="747"/>
      <c r="R5" s="747"/>
      <c r="S5" s="747"/>
      <c r="T5" s="747"/>
      <c r="U5" s="747"/>
      <c r="V5" s="747"/>
      <c r="W5" s="747"/>
      <c r="X5" s="748"/>
    </row>
    <row r="6" spans="1:24" ht="30" customHeight="1">
      <c r="B6" s="28"/>
      <c r="C6" s="1" t="s">
        <v>2</v>
      </c>
      <c r="H6" s="1212">
        <f>ejercicio</f>
        <v>2025</v>
      </c>
      <c r="I6" s="30"/>
      <c r="K6" s="751"/>
      <c r="L6" s="752"/>
      <c r="M6" s="752"/>
      <c r="N6" s="752"/>
      <c r="O6" s="752"/>
      <c r="P6" s="752"/>
      <c r="Q6" s="752"/>
      <c r="R6" s="752"/>
      <c r="S6" s="752"/>
      <c r="T6" s="752"/>
      <c r="U6" s="752"/>
      <c r="V6" s="752"/>
      <c r="W6" s="752"/>
      <c r="X6" s="753"/>
    </row>
    <row r="7" spans="1:24" ht="30" customHeight="1">
      <c r="B7" s="28"/>
      <c r="C7" s="1" t="s">
        <v>3</v>
      </c>
      <c r="H7" s="1212"/>
      <c r="I7" s="30"/>
      <c r="K7" s="754"/>
      <c r="L7" s="755" t="s">
        <v>196</v>
      </c>
      <c r="M7" s="756"/>
      <c r="N7" s="756"/>
      <c r="O7" s="756"/>
      <c r="P7" s="756"/>
      <c r="Q7" s="756"/>
      <c r="R7" s="756"/>
      <c r="S7" s="756"/>
      <c r="T7" s="756"/>
      <c r="U7" s="756"/>
      <c r="V7" s="756"/>
      <c r="W7" s="756"/>
      <c r="X7" s="757"/>
    </row>
    <row r="8" spans="1:24" ht="30" customHeight="1">
      <c r="B8" s="28"/>
      <c r="C8" s="29"/>
      <c r="H8" s="31"/>
      <c r="I8" s="30"/>
      <c r="K8" s="754"/>
      <c r="L8" s="756"/>
      <c r="M8" s="756"/>
      <c r="N8" s="756"/>
      <c r="O8" s="756"/>
      <c r="P8" s="756"/>
      <c r="Q8" s="756"/>
      <c r="R8" s="756"/>
      <c r="S8" s="756"/>
      <c r="T8" s="756"/>
      <c r="U8" s="756"/>
      <c r="V8" s="756"/>
      <c r="W8" s="756"/>
      <c r="X8" s="757"/>
    </row>
    <row r="9" spans="1:24" s="36" customFormat="1" ht="30" customHeight="1">
      <c r="A9" s="412"/>
      <c r="B9" s="874"/>
      <c r="C9" s="20" t="s">
        <v>105</v>
      </c>
      <c r="D9" s="1229" t="str">
        <f>Entidad</f>
        <v>(MERCATENERIFE) Mercados Centrales de Abastecimiento de Tenerife, S.A.</v>
      </c>
      <c r="E9" s="1229"/>
      <c r="F9" s="1229"/>
      <c r="G9" s="1229"/>
      <c r="H9" s="1229"/>
      <c r="I9" s="875"/>
      <c r="J9" s="412"/>
      <c r="K9" s="751"/>
      <c r="L9" s="752"/>
      <c r="M9" s="752"/>
      <c r="N9" s="752"/>
      <c r="O9" s="752"/>
      <c r="P9" s="752"/>
      <c r="Q9" s="752"/>
      <c r="R9" s="752"/>
      <c r="S9" s="752"/>
      <c r="T9" s="752"/>
      <c r="U9" s="752"/>
      <c r="V9" s="752"/>
      <c r="W9" s="752"/>
      <c r="X9" s="753"/>
    </row>
    <row r="10" spans="1:24" ht="6.95" customHeight="1">
      <c r="B10" s="28"/>
      <c r="I10" s="30"/>
      <c r="K10" s="751"/>
      <c r="L10" s="752"/>
      <c r="M10" s="752"/>
      <c r="N10" s="752"/>
      <c r="O10" s="752"/>
      <c r="P10" s="752"/>
      <c r="Q10" s="752"/>
      <c r="R10" s="752"/>
      <c r="S10" s="752"/>
      <c r="T10" s="752"/>
      <c r="U10" s="752"/>
      <c r="V10" s="752"/>
      <c r="W10" s="752"/>
      <c r="X10" s="753"/>
    </row>
    <row r="11" spans="1:24" s="38" customFormat="1" ht="30" customHeight="1">
      <c r="B11" s="10"/>
      <c r="C11" s="4" t="s">
        <v>321</v>
      </c>
      <c r="D11" s="4"/>
      <c r="E11" s="4"/>
      <c r="F11" s="4"/>
      <c r="G11" s="4"/>
      <c r="H11" s="4"/>
      <c r="I11" s="37"/>
      <c r="K11" s="751"/>
      <c r="L11" s="752"/>
      <c r="M11" s="752"/>
      <c r="N11" s="752"/>
      <c r="O11" s="752"/>
      <c r="P11" s="752"/>
      <c r="Q11" s="752"/>
      <c r="R11" s="752"/>
      <c r="S11" s="752"/>
      <c r="T11" s="752"/>
      <c r="U11" s="752"/>
      <c r="V11" s="752"/>
      <c r="W11" s="752"/>
      <c r="X11" s="753"/>
    </row>
    <row r="12" spans="1:24" s="38" customFormat="1" ht="30" customHeight="1">
      <c r="B12" s="10"/>
      <c r="I12" s="37"/>
      <c r="K12" s="751"/>
      <c r="L12" s="752"/>
      <c r="M12" s="752"/>
      <c r="N12" s="752"/>
      <c r="O12" s="752"/>
      <c r="P12" s="752"/>
      <c r="Q12" s="752"/>
      <c r="R12" s="752"/>
      <c r="S12" s="752"/>
      <c r="T12" s="752"/>
      <c r="U12" s="752"/>
      <c r="V12" s="752"/>
      <c r="W12" s="752"/>
      <c r="X12" s="753"/>
    </row>
    <row r="13" spans="1:24" ht="23.1" customHeight="1">
      <c r="B13" s="28"/>
      <c r="C13" s="215"/>
      <c r="D13" s="216"/>
      <c r="E13" s="217" t="s">
        <v>322</v>
      </c>
      <c r="F13" s="716" t="s">
        <v>323</v>
      </c>
      <c r="G13" s="218" t="s">
        <v>324</v>
      </c>
      <c r="H13" s="219" t="s">
        <v>325</v>
      </c>
      <c r="I13" s="30"/>
      <c r="K13" s="751"/>
      <c r="L13" s="752"/>
      <c r="M13" s="752"/>
      <c r="N13" s="752"/>
      <c r="O13" s="752"/>
      <c r="P13" s="752"/>
      <c r="Q13" s="752"/>
      <c r="R13" s="752"/>
      <c r="S13" s="752"/>
      <c r="T13" s="752"/>
      <c r="U13" s="752"/>
      <c r="V13" s="752"/>
      <c r="W13" s="752"/>
      <c r="X13" s="753"/>
    </row>
    <row r="14" spans="1:24" ht="23.1" customHeight="1">
      <c r="B14" s="28"/>
      <c r="C14" s="220"/>
      <c r="D14" s="41"/>
      <c r="E14" s="203">
        <f>ejercicio-2</f>
        <v>2023</v>
      </c>
      <c r="F14" s="717">
        <f>ejercicio-1</f>
        <v>2024</v>
      </c>
      <c r="G14" s="209">
        <f>ejercicio-1</f>
        <v>2024</v>
      </c>
      <c r="H14" s="202">
        <f>ejercicio</f>
        <v>2025</v>
      </c>
      <c r="I14" s="30"/>
      <c r="K14" s="751"/>
      <c r="L14" s="752"/>
      <c r="M14" s="752"/>
      <c r="N14" s="752"/>
      <c r="O14" s="752"/>
      <c r="P14" s="752"/>
      <c r="Q14" s="752"/>
      <c r="R14" s="752"/>
      <c r="S14" s="752"/>
      <c r="T14" s="752"/>
      <c r="U14" s="752"/>
      <c r="V14" s="752"/>
      <c r="W14" s="752"/>
      <c r="X14" s="753"/>
    </row>
    <row r="15" spans="1:24" ht="23.1" customHeight="1">
      <c r="B15" s="28"/>
      <c r="C15" s="221" t="s">
        <v>326</v>
      </c>
      <c r="D15" s="55" t="s">
        <v>327</v>
      </c>
      <c r="E15" s="90"/>
      <c r="F15" s="90"/>
      <c r="G15" s="90"/>
      <c r="H15" s="90"/>
      <c r="I15" s="30"/>
      <c r="K15" s="751"/>
      <c r="L15" s="752"/>
      <c r="M15" s="752"/>
      <c r="N15" s="752"/>
      <c r="O15" s="752"/>
      <c r="P15" s="752"/>
      <c r="Q15" s="752"/>
      <c r="R15" s="752"/>
      <c r="S15" s="752"/>
      <c r="T15" s="752"/>
      <c r="U15" s="752"/>
      <c r="V15" s="752"/>
      <c r="W15" s="752"/>
      <c r="X15" s="753"/>
    </row>
    <row r="16" spans="1:24" ht="23.1" customHeight="1">
      <c r="B16" s="28"/>
      <c r="C16" s="225" t="s">
        <v>328</v>
      </c>
      <c r="D16" s="43" t="s">
        <v>329</v>
      </c>
      <c r="E16" s="92">
        <f>SUM(E17:E19)</f>
        <v>4292042.41</v>
      </c>
      <c r="F16" s="92">
        <f>SUM(F17:F19)</f>
        <v>4400079.01</v>
      </c>
      <c r="G16" s="92">
        <f>SUM(G17:G19)</f>
        <v>4567991.9400000004</v>
      </c>
      <c r="H16" s="92">
        <f>SUM(H17:H19)</f>
        <v>4632553.3600000003</v>
      </c>
      <c r="I16" s="30"/>
      <c r="K16" s="1210">
        <f>+F16-G16</f>
        <v>-167912.93000000063</v>
      </c>
      <c r="L16" s="752"/>
      <c r="M16" s="752"/>
      <c r="N16" s="752"/>
      <c r="O16" s="752"/>
      <c r="P16" s="752"/>
      <c r="Q16" s="752"/>
      <c r="R16" s="752"/>
      <c r="S16" s="752"/>
      <c r="T16" s="752"/>
      <c r="U16" s="752"/>
      <c r="V16" s="752"/>
      <c r="W16" s="752"/>
      <c r="X16" s="753"/>
    </row>
    <row r="17" spans="2:24" ht="23.1" customHeight="1">
      <c r="B17" s="28"/>
      <c r="C17" s="894" t="s">
        <v>330</v>
      </c>
      <c r="D17" s="629" t="s">
        <v>331</v>
      </c>
      <c r="E17" s="821"/>
      <c r="F17" s="821"/>
      <c r="G17" s="821"/>
      <c r="H17" s="821"/>
      <c r="I17" s="30"/>
      <c r="K17" s="751"/>
      <c r="L17" s="752"/>
      <c r="M17" s="752"/>
      <c r="N17" s="752"/>
      <c r="O17" s="752"/>
      <c r="P17" s="752"/>
      <c r="Q17" s="752"/>
      <c r="R17" s="752"/>
      <c r="S17" s="752"/>
      <c r="T17" s="752"/>
      <c r="U17" s="752"/>
      <c r="V17" s="752"/>
      <c r="W17" s="752"/>
      <c r="X17" s="753"/>
    </row>
    <row r="18" spans="2:24" ht="23.1" customHeight="1">
      <c r="B18" s="28"/>
      <c r="C18" s="895" t="s">
        <v>332</v>
      </c>
      <c r="D18" s="630" t="s">
        <v>333</v>
      </c>
      <c r="E18" s="822">
        <v>4292042.41</v>
      </c>
      <c r="F18" s="822">
        <v>4400079.01</v>
      </c>
      <c r="G18" s="822">
        <v>4567991.9400000004</v>
      </c>
      <c r="H18" s="822">
        <v>4632553.3600000003</v>
      </c>
      <c r="I18" s="30"/>
      <c r="K18" s="751"/>
      <c r="L18" s="752"/>
      <c r="M18" s="752"/>
      <c r="N18" s="752"/>
      <c r="O18" s="752"/>
      <c r="P18" s="752"/>
      <c r="Q18" s="752"/>
      <c r="R18" s="752"/>
      <c r="S18" s="752"/>
      <c r="T18" s="752"/>
      <c r="U18" s="752"/>
      <c r="V18" s="752"/>
      <c r="W18" s="752"/>
      <c r="X18" s="753"/>
    </row>
    <row r="19" spans="2:24" ht="23.1" customHeight="1">
      <c r="B19" s="28"/>
      <c r="C19" s="895" t="s">
        <v>334</v>
      </c>
      <c r="D19" s="630" t="s">
        <v>335</v>
      </c>
      <c r="E19" s="822"/>
      <c r="F19" s="822"/>
      <c r="G19" s="822"/>
      <c r="H19" s="822"/>
      <c r="I19" s="30"/>
      <c r="K19" s="751"/>
      <c r="L19" s="752"/>
      <c r="M19" s="752"/>
      <c r="N19" s="752"/>
      <c r="O19" s="752"/>
      <c r="P19" s="752"/>
      <c r="Q19" s="752"/>
      <c r="R19" s="752"/>
      <c r="S19" s="752"/>
      <c r="T19" s="752"/>
      <c r="U19" s="752"/>
      <c r="V19" s="752"/>
      <c r="W19" s="752"/>
      <c r="X19" s="753"/>
    </row>
    <row r="20" spans="2:24" ht="23.1" customHeight="1">
      <c r="B20" s="28"/>
      <c r="C20" s="225" t="s">
        <v>336</v>
      </c>
      <c r="D20" s="43" t="s">
        <v>337</v>
      </c>
      <c r="E20" s="272"/>
      <c r="F20" s="272"/>
      <c r="G20" s="272"/>
      <c r="H20" s="272"/>
      <c r="I20" s="30"/>
      <c r="K20" s="751"/>
      <c r="L20" s="752"/>
      <c r="M20" s="752"/>
      <c r="N20" s="752"/>
      <c r="O20" s="752"/>
      <c r="P20" s="752"/>
      <c r="Q20" s="752"/>
      <c r="R20" s="752"/>
      <c r="S20" s="752"/>
      <c r="T20" s="752"/>
      <c r="U20" s="752"/>
      <c r="V20" s="752"/>
      <c r="W20" s="752"/>
      <c r="X20" s="753"/>
    </row>
    <row r="21" spans="2:24" ht="23.1" customHeight="1">
      <c r="B21" s="28"/>
      <c r="C21" s="225" t="s">
        <v>338</v>
      </c>
      <c r="D21" s="43" t="s">
        <v>339</v>
      </c>
      <c r="E21" s="272"/>
      <c r="F21" s="272"/>
      <c r="G21" s="272"/>
      <c r="H21" s="272"/>
      <c r="I21" s="30"/>
      <c r="K21" s="751"/>
      <c r="L21" s="752"/>
      <c r="M21" s="752"/>
      <c r="N21" s="752"/>
      <c r="O21" s="752"/>
      <c r="P21" s="752"/>
      <c r="Q21" s="752"/>
      <c r="R21" s="752"/>
      <c r="S21" s="752"/>
      <c r="T21" s="752"/>
      <c r="U21" s="752"/>
      <c r="V21" s="752"/>
      <c r="W21" s="752"/>
      <c r="X21" s="753"/>
    </row>
    <row r="22" spans="2:24" ht="23.1" customHeight="1">
      <c r="B22" s="28"/>
      <c r="C22" s="225" t="s">
        <v>340</v>
      </c>
      <c r="D22" s="43" t="s">
        <v>341</v>
      </c>
      <c r="E22" s="92">
        <f>SUM(E23:E26)</f>
        <v>-6035.54</v>
      </c>
      <c r="F22" s="92">
        <f>SUM(F23:F26)</f>
        <v>-3927.7</v>
      </c>
      <c r="G22" s="92">
        <f>SUM(G23:G26)</f>
        <v>-4161.3100000000004</v>
      </c>
      <c r="H22" s="92">
        <f>SUM(H23:H26)</f>
        <v>-3927.7</v>
      </c>
      <c r="I22" s="30"/>
      <c r="K22" s="751"/>
      <c r="L22" s="752"/>
      <c r="M22" s="752"/>
      <c r="N22" s="752"/>
      <c r="O22" s="752"/>
      <c r="P22" s="752"/>
      <c r="Q22" s="752"/>
      <c r="R22" s="752"/>
      <c r="S22" s="752"/>
      <c r="T22" s="752"/>
      <c r="U22" s="752"/>
      <c r="V22" s="752"/>
      <c r="W22" s="752"/>
      <c r="X22" s="753"/>
    </row>
    <row r="23" spans="2:24" ht="23.1" customHeight="1">
      <c r="B23" s="28"/>
      <c r="C23" s="894" t="s">
        <v>330</v>
      </c>
      <c r="D23" s="629" t="s">
        <v>342</v>
      </c>
      <c r="E23" s="821"/>
      <c r="F23" s="821"/>
      <c r="G23" s="821"/>
      <c r="H23" s="821"/>
      <c r="I23" s="30"/>
      <c r="K23" s="751"/>
      <c r="L23" s="752"/>
      <c r="M23" s="752"/>
      <c r="N23" s="752"/>
      <c r="O23" s="752"/>
      <c r="P23" s="752"/>
      <c r="Q23" s="752"/>
      <c r="R23" s="752"/>
      <c r="S23" s="752"/>
      <c r="T23" s="752"/>
      <c r="U23" s="752"/>
      <c r="V23" s="752"/>
      <c r="W23" s="752"/>
      <c r="X23" s="753"/>
    </row>
    <row r="24" spans="2:24" ht="23.1" customHeight="1">
      <c r="B24" s="28"/>
      <c r="C24" s="895" t="s">
        <v>332</v>
      </c>
      <c r="D24" s="630" t="s">
        <v>343</v>
      </c>
      <c r="E24" s="822"/>
      <c r="F24" s="822"/>
      <c r="G24" s="822"/>
      <c r="H24" s="822"/>
      <c r="I24" s="30"/>
      <c r="K24" s="751"/>
      <c r="L24" s="752"/>
      <c r="M24" s="752"/>
      <c r="N24" s="752"/>
      <c r="O24" s="752"/>
      <c r="P24" s="752"/>
      <c r="Q24" s="752"/>
      <c r="R24" s="752"/>
      <c r="S24" s="752"/>
      <c r="T24" s="752"/>
      <c r="U24" s="752"/>
      <c r="V24" s="752"/>
      <c r="W24" s="752"/>
      <c r="X24" s="753"/>
    </row>
    <row r="25" spans="2:24" ht="23.1" customHeight="1">
      <c r="B25" s="28"/>
      <c r="C25" s="895" t="s">
        <v>334</v>
      </c>
      <c r="D25" s="630" t="s">
        <v>344</v>
      </c>
      <c r="E25" s="822">
        <v>-6035.54</v>
      </c>
      <c r="F25" s="822">
        <v>-3927.7</v>
      </c>
      <c r="G25" s="822">
        <v>-4161.3100000000004</v>
      </c>
      <c r="H25" s="822">
        <v>-3927.7</v>
      </c>
      <c r="I25" s="30"/>
      <c r="K25" s="751"/>
      <c r="L25" s="752"/>
      <c r="M25" s="752"/>
      <c r="N25" s="752"/>
      <c r="O25" s="752"/>
      <c r="P25" s="752"/>
      <c r="Q25" s="752"/>
      <c r="R25" s="752"/>
      <c r="S25" s="752"/>
      <c r="T25" s="752"/>
      <c r="U25" s="752"/>
      <c r="V25" s="752"/>
      <c r="W25" s="752"/>
      <c r="X25" s="753"/>
    </row>
    <row r="26" spans="2:24" ht="23.1" customHeight="1">
      <c r="B26" s="28"/>
      <c r="C26" s="895" t="s">
        <v>345</v>
      </c>
      <c r="D26" s="630" t="s">
        <v>346</v>
      </c>
      <c r="E26" s="822"/>
      <c r="F26" s="822"/>
      <c r="G26" s="822"/>
      <c r="H26" s="822"/>
      <c r="I26" s="30"/>
      <c r="K26" s="758"/>
      <c r="L26" s="759"/>
      <c r="M26" s="759"/>
      <c r="N26" s="759"/>
      <c r="O26" s="759"/>
      <c r="P26" s="759"/>
      <c r="Q26" s="759"/>
      <c r="R26" s="759"/>
      <c r="S26" s="759"/>
      <c r="T26" s="759"/>
      <c r="U26" s="759"/>
      <c r="V26" s="759"/>
      <c r="W26" s="759"/>
      <c r="X26" s="760"/>
    </row>
    <row r="27" spans="2:24" ht="23.1" customHeight="1">
      <c r="B27" s="28"/>
      <c r="C27" s="225" t="s">
        <v>347</v>
      </c>
      <c r="D27" s="43" t="s">
        <v>348</v>
      </c>
      <c r="E27" s="92">
        <f>SUM(E28:E29)</f>
        <v>0</v>
      </c>
      <c r="F27" s="92">
        <f>SUM(F28:F29)</f>
        <v>0</v>
      </c>
      <c r="G27" s="92">
        <f>SUM(G28:G29)</f>
        <v>0</v>
      </c>
      <c r="H27" s="92">
        <f>SUM(H28:H29)</f>
        <v>0</v>
      </c>
      <c r="I27" s="30"/>
      <c r="K27" s="758"/>
      <c r="L27" s="759"/>
      <c r="M27" s="759"/>
      <c r="N27" s="759"/>
      <c r="O27" s="759"/>
      <c r="P27" s="759"/>
      <c r="Q27" s="759"/>
      <c r="R27" s="759"/>
      <c r="S27" s="759"/>
      <c r="T27" s="759"/>
      <c r="U27" s="759"/>
      <c r="V27" s="759"/>
      <c r="W27" s="759"/>
      <c r="X27" s="760"/>
    </row>
    <row r="28" spans="2:24" ht="23.1" customHeight="1">
      <c r="B28" s="28"/>
      <c r="C28" s="894" t="s">
        <v>330</v>
      </c>
      <c r="D28" s="629" t="s">
        <v>349</v>
      </c>
      <c r="E28" s="821"/>
      <c r="F28" s="821"/>
      <c r="G28" s="821"/>
      <c r="H28" s="821"/>
      <c r="I28" s="30"/>
      <c r="K28" s="751"/>
      <c r="L28" s="752"/>
      <c r="M28" s="752"/>
      <c r="N28" s="752"/>
      <c r="O28" s="752"/>
      <c r="P28" s="752"/>
      <c r="Q28" s="752"/>
      <c r="R28" s="752"/>
      <c r="S28" s="752"/>
      <c r="T28" s="752"/>
      <c r="U28" s="752"/>
      <c r="V28" s="752"/>
      <c r="W28" s="752"/>
      <c r="X28" s="753"/>
    </row>
    <row r="29" spans="2:24" ht="23.1" customHeight="1">
      <c r="B29" s="28"/>
      <c r="C29" s="895" t="s">
        <v>332</v>
      </c>
      <c r="D29" s="630" t="s">
        <v>350</v>
      </c>
      <c r="E29" s="822"/>
      <c r="F29" s="822"/>
      <c r="G29" s="822"/>
      <c r="H29" s="822"/>
      <c r="I29" s="30"/>
      <c r="K29" s="751"/>
      <c r="L29" s="752"/>
      <c r="M29" s="752"/>
      <c r="N29" s="752"/>
      <c r="O29" s="752"/>
      <c r="P29" s="752"/>
      <c r="Q29" s="752"/>
      <c r="R29" s="752"/>
      <c r="S29" s="752"/>
      <c r="T29" s="752"/>
      <c r="U29" s="752"/>
      <c r="V29" s="752"/>
      <c r="W29" s="752"/>
      <c r="X29" s="753"/>
    </row>
    <row r="30" spans="2:24" ht="23.1" customHeight="1">
      <c r="B30" s="28"/>
      <c r="C30" s="225" t="s">
        <v>351</v>
      </c>
      <c r="D30" s="43" t="s">
        <v>352</v>
      </c>
      <c r="E30" s="92">
        <f>E31+E34+E35</f>
        <v>-693491.99</v>
      </c>
      <c r="F30" s="92">
        <f>F31+F34+F35</f>
        <v>-675245.89</v>
      </c>
      <c r="G30" s="92">
        <f>G31+G34+G35</f>
        <v>-691957.75</v>
      </c>
      <c r="H30" s="92">
        <f>H31+H34+H35</f>
        <v>-710015.65999999992</v>
      </c>
      <c r="I30" s="30"/>
      <c r="K30" s="751"/>
      <c r="L30" s="752"/>
      <c r="M30" s="752"/>
      <c r="N30" s="752"/>
      <c r="O30" s="752"/>
      <c r="P30" s="752"/>
      <c r="Q30" s="752"/>
      <c r="R30" s="752"/>
      <c r="S30" s="752"/>
      <c r="T30" s="752"/>
      <c r="U30" s="752"/>
      <c r="V30" s="752"/>
      <c r="W30" s="752"/>
      <c r="X30" s="753"/>
    </row>
    <row r="31" spans="2:24" ht="23.1" customHeight="1">
      <c r="B31" s="28"/>
      <c r="C31" s="894" t="s">
        <v>330</v>
      </c>
      <c r="D31" s="629" t="s">
        <v>353</v>
      </c>
      <c r="E31" s="896">
        <f>SUM(E32:E33)</f>
        <v>-536110.65</v>
      </c>
      <c r="F31" s="896">
        <f>SUM(F32:F33)</f>
        <v>-521612.3</v>
      </c>
      <c r="G31" s="896">
        <f>SUM(G32:G33)</f>
        <v>-551514.96</v>
      </c>
      <c r="H31" s="896">
        <f>SUM(H32:H33)</f>
        <v>-550144.35</v>
      </c>
      <c r="I31" s="30"/>
      <c r="K31" s="751"/>
      <c r="L31" s="752"/>
      <c r="M31" s="752"/>
      <c r="N31" s="752"/>
      <c r="O31" s="752"/>
      <c r="P31" s="752"/>
      <c r="Q31" s="752"/>
      <c r="R31" s="752"/>
      <c r="S31" s="752"/>
      <c r="T31" s="752"/>
      <c r="U31" s="752"/>
      <c r="V31" s="752"/>
      <c r="W31" s="752"/>
      <c r="X31" s="753"/>
    </row>
    <row r="32" spans="2:24" ht="23.1" customHeight="1">
      <c r="B32" s="28"/>
      <c r="C32" s="230"/>
      <c r="D32" s="47" t="s">
        <v>354</v>
      </c>
      <c r="E32" s="324">
        <v>-495503.06</v>
      </c>
      <c r="F32" s="324">
        <v>-496107.86</v>
      </c>
      <c r="G32" s="324">
        <v>-508980.87</v>
      </c>
      <c r="H32" s="324">
        <v>-518317.11</v>
      </c>
      <c r="I32" s="30"/>
      <c r="K32" s="751"/>
      <c r="L32" s="752"/>
      <c r="M32" s="752"/>
      <c r="N32" s="752"/>
      <c r="O32" s="752"/>
      <c r="P32" s="752"/>
      <c r="Q32" s="752"/>
      <c r="R32" s="752"/>
      <c r="S32" s="752"/>
      <c r="T32" s="752"/>
      <c r="U32" s="752"/>
      <c r="V32" s="752"/>
      <c r="W32" s="752"/>
      <c r="X32" s="753"/>
    </row>
    <row r="33" spans="2:24" ht="23.1" customHeight="1">
      <c r="B33" s="28"/>
      <c r="C33" s="230"/>
      <c r="D33" s="47" t="s">
        <v>355</v>
      </c>
      <c r="E33" s="324">
        <v>-40607.589999999997</v>
      </c>
      <c r="F33" s="324">
        <v>-25504.44</v>
      </c>
      <c r="G33" s="324">
        <v>-42534.09</v>
      </c>
      <c r="H33" s="324">
        <v>-31827.24</v>
      </c>
      <c r="I33" s="30"/>
      <c r="K33" s="751" t="s">
        <v>356</v>
      </c>
      <c r="L33" s="752"/>
      <c r="M33" s="752"/>
      <c r="N33" s="752"/>
      <c r="O33" s="752"/>
      <c r="P33" s="752"/>
      <c r="Q33" s="752"/>
      <c r="R33" s="752"/>
      <c r="S33" s="752"/>
      <c r="T33" s="752"/>
      <c r="U33" s="752"/>
      <c r="V33" s="752"/>
      <c r="W33" s="752"/>
      <c r="X33" s="753"/>
    </row>
    <row r="34" spans="2:24" ht="23.1" customHeight="1">
      <c r="B34" s="28"/>
      <c r="C34" s="895" t="s">
        <v>332</v>
      </c>
      <c r="D34" s="630" t="s">
        <v>357</v>
      </c>
      <c r="E34" s="822">
        <v>-157381.34</v>
      </c>
      <c r="F34" s="822">
        <v>-153633.59</v>
      </c>
      <c r="G34" s="822">
        <v>-140442.79</v>
      </c>
      <c r="H34" s="822">
        <v>-159871.31</v>
      </c>
      <c r="I34" s="30"/>
      <c r="K34" s="751"/>
      <c r="L34" s="762"/>
      <c r="M34" s="762"/>
      <c r="N34" s="762"/>
      <c r="O34" s="762"/>
      <c r="P34" s="762"/>
      <c r="Q34" s="762"/>
      <c r="R34" s="762"/>
      <c r="S34" s="762"/>
      <c r="T34" s="762"/>
      <c r="U34" s="762"/>
      <c r="V34" s="762"/>
      <c r="W34" s="762"/>
      <c r="X34" s="763"/>
    </row>
    <row r="35" spans="2:24" ht="23.1" customHeight="1">
      <c r="B35" s="28"/>
      <c r="C35" s="895" t="s">
        <v>334</v>
      </c>
      <c r="D35" s="630" t="s">
        <v>358</v>
      </c>
      <c r="E35" s="822"/>
      <c r="F35" s="822"/>
      <c r="G35" s="822"/>
      <c r="H35" s="822">
        <v>0</v>
      </c>
      <c r="I35" s="30"/>
      <c r="K35" s="751"/>
      <c r="L35" s="762"/>
      <c r="M35" s="762"/>
      <c r="N35" s="762"/>
      <c r="O35" s="762"/>
      <c r="P35" s="762"/>
      <c r="Q35" s="762"/>
      <c r="R35" s="762"/>
      <c r="S35" s="762"/>
      <c r="T35" s="762"/>
      <c r="U35" s="762"/>
      <c r="V35" s="762"/>
      <c r="W35" s="762"/>
      <c r="X35" s="763"/>
    </row>
    <row r="36" spans="2:24" ht="23.1" customHeight="1">
      <c r="B36" s="28"/>
      <c r="C36" s="225" t="s">
        <v>359</v>
      </c>
      <c r="D36" s="43" t="s">
        <v>360</v>
      </c>
      <c r="E36" s="92">
        <f>SUM(E37:E41)</f>
        <v>-1488082.8699999999</v>
      </c>
      <c r="F36" s="92">
        <f>SUM(F37:F41)</f>
        <v>-1578449.01</v>
      </c>
      <c r="G36" s="92">
        <f>SUM(G37:G41)</f>
        <v>-1622572.59</v>
      </c>
      <c r="H36" s="92">
        <f>SUM(H37:H41)</f>
        <v>-1683714.26</v>
      </c>
      <c r="I36" s="30"/>
      <c r="K36" s="751"/>
      <c r="L36" s="762"/>
      <c r="M36" s="762"/>
      <c r="N36" s="762"/>
      <c r="O36" s="762"/>
      <c r="P36" s="762"/>
      <c r="Q36" s="762"/>
      <c r="R36" s="762"/>
      <c r="S36" s="762"/>
      <c r="T36" s="762"/>
      <c r="U36" s="762"/>
      <c r="V36" s="762"/>
      <c r="W36" s="762"/>
      <c r="X36" s="763"/>
    </row>
    <row r="37" spans="2:24" ht="23.1" customHeight="1">
      <c r="B37" s="28"/>
      <c r="C37" s="894" t="s">
        <v>330</v>
      </c>
      <c r="D37" s="629" t="s">
        <v>361</v>
      </c>
      <c r="E37" s="821">
        <v>-1230927.6599999999</v>
      </c>
      <c r="F37" s="821">
        <v>-1321098.56</v>
      </c>
      <c r="G37" s="821">
        <v>-1362321.45</v>
      </c>
      <c r="H37" s="821">
        <v>-1418575.74</v>
      </c>
      <c r="I37" s="30"/>
      <c r="K37" s="1210">
        <f>+F37-G37</f>
        <v>41222.889999999898</v>
      </c>
      <c r="L37" s="762"/>
      <c r="M37" s="762"/>
      <c r="N37" s="762"/>
      <c r="O37" s="762"/>
      <c r="P37" s="762"/>
      <c r="Q37" s="762"/>
      <c r="R37" s="762"/>
      <c r="S37" s="762"/>
      <c r="T37" s="762"/>
      <c r="U37" s="762"/>
      <c r="V37" s="762"/>
      <c r="W37" s="762"/>
      <c r="X37" s="763"/>
    </row>
    <row r="38" spans="2:24" ht="23.1" customHeight="1">
      <c r="B38" s="28"/>
      <c r="C38" s="895" t="s">
        <v>332</v>
      </c>
      <c r="D38" s="630" t="s">
        <v>362</v>
      </c>
      <c r="E38" s="822">
        <v>-218660.2</v>
      </c>
      <c r="F38" s="822">
        <v>-219016.06</v>
      </c>
      <c r="G38" s="822">
        <v>-219016.08</v>
      </c>
      <c r="H38" s="822">
        <v>-218812.99</v>
      </c>
      <c r="I38" s="30"/>
      <c r="K38" s="751"/>
      <c r="L38" s="762"/>
      <c r="M38" s="762"/>
      <c r="N38" s="762"/>
      <c r="O38" s="762"/>
      <c r="P38" s="762"/>
      <c r="Q38" s="762"/>
      <c r="R38" s="762"/>
      <c r="S38" s="762"/>
      <c r="T38" s="762"/>
      <c r="U38" s="762"/>
      <c r="V38" s="762"/>
      <c r="W38" s="762"/>
      <c r="X38" s="763"/>
    </row>
    <row r="39" spans="2:24" ht="23.1" customHeight="1">
      <c r="B39" s="28"/>
      <c r="C39" s="895" t="s">
        <v>334</v>
      </c>
      <c r="D39" s="630" t="s">
        <v>363</v>
      </c>
      <c r="E39" s="822">
        <v>-38495.01</v>
      </c>
      <c r="F39" s="822">
        <v>-38334.39</v>
      </c>
      <c r="G39" s="822">
        <v>-41235.06</v>
      </c>
      <c r="H39" s="822">
        <v>-46325.53</v>
      </c>
      <c r="I39" s="30"/>
      <c r="K39" s="761"/>
      <c r="L39" s="762"/>
      <c r="M39" s="762"/>
      <c r="N39" s="762"/>
      <c r="O39" s="762"/>
      <c r="P39" s="762"/>
      <c r="Q39" s="762"/>
      <c r="R39" s="762"/>
      <c r="S39" s="762"/>
      <c r="T39" s="762"/>
      <c r="U39" s="762"/>
      <c r="V39" s="762"/>
      <c r="W39" s="762"/>
      <c r="X39" s="763"/>
    </row>
    <row r="40" spans="2:24" ht="23.1" customHeight="1">
      <c r="B40" s="28"/>
      <c r="C40" s="895" t="s">
        <v>345</v>
      </c>
      <c r="D40" s="630" t="s">
        <v>364</v>
      </c>
      <c r="E40" s="822"/>
      <c r="F40" s="822"/>
      <c r="G40" s="822"/>
      <c r="H40" s="822"/>
      <c r="I40" s="30"/>
      <c r="K40" s="761"/>
      <c r="L40" s="762"/>
      <c r="M40" s="762"/>
      <c r="N40" s="762"/>
      <c r="O40" s="762"/>
      <c r="P40" s="762"/>
      <c r="Q40" s="762"/>
      <c r="R40" s="762"/>
      <c r="S40" s="762"/>
      <c r="T40" s="762"/>
      <c r="U40" s="762"/>
      <c r="V40" s="762"/>
      <c r="W40" s="762"/>
      <c r="X40" s="763"/>
    </row>
    <row r="41" spans="2:24" ht="23.1" customHeight="1">
      <c r="B41" s="28"/>
      <c r="C41" s="895" t="s">
        <v>365</v>
      </c>
      <c r="D41" s="630" t="s">
        <v>366</v>
      </c>
      <c r="E41" s="822"/>
      <c r="F41" s="822"/>
      <c r="G41" s="822"/>
      <c r="H41" s="822"/>
      <c r="I41" s="30"/>
      <c r="K41" s="761"/>
      <c r="L41" s="762"/>
      <c r="M41" s="762"/>
      <c r="N41" s="762"/>
      <c r="O41" s="762"/>
      <c r="P41" s="762"/>
      <c r="Q41" s="762"/>
      <c r="R41" s="762"/>
      <c r="S41" s="762"/>
      <c r="T41" s="762"/>
      <c r="U41" s="762"/>
      <c r="V41" s="762"/>
      <c r="W41" s="762"/>
      <c r="X41" s="763"/>
    </row>
    <row r="42" spans="2:24" ht="23.1" customHeight="1">
      <c r="B42" s="28"/>
      <c r="C42" s="225" t="s">
        <v>367</v>
      </c>
      <c r="D42" s="43" t="s">
        <v>368</v>
      </c>
      <c r="E42" s="92">
        <f>SUM(E43:E45)</f>
        <v>-582343.24</v>
      </c>
      <c r="F42" s="92">
        <f>SUM(F43:F45)</f>
        <v>-659775.6</v>
      </c>
      <c r="G42" s="92">
        <f>SUM(G43:G45)</f>
        <v>-641158.16</v>
      </c>
      <c r="H42" s="92">
        <f>SUM(H43:H45)</f>
        <v>-667175.64</v>
      </c>
      <c r="I42" s="30"/>
      <c r="K42" s="761"/>
      <c r="L42" s="762"/>
      <c r="M42" s="762"/>
      <c r="N42" s="762"/>
      <c r="O42" s="762"/>
      <c r="P42" s="762"/>
      <c r="Q42" s="762"/>
      <c r="R42" s="762"/>
      <c r="S42" s="762"/>
      <c r="T42" s="762"/>
      <c r="U42" s="762"/>
      <c r="V42" s="762"/>
      <c r="W42" s="762"/>
      <c r="X42" s="763"/>
    </row>
    <row r="43" spans="2:24" ht="23.1" customHeight="1">
      <c r="B43" s="28"/>
      <c r="C43" s="894" t="s">
        <v>330</v>
      </c>
      <c r="D43" s="629" t="s">
        <v>369</v>
      </c>
      <c r="E43" s="821">
        <v>-764.98</v>
      </c>
      <c r="F43" s="821">
        <v>-9900</v>
      </c>
      <c r="G43" s="821">
        <v>-9900</v>
      </c>
      <c r="H43" s="821">
        <v>-9900</v>
      </c>
      <c r="I43" s="30"/>
      <c r="K43" s="761"/>
      <c r="L43" s="762"/>
      <c r="M43" s="762"/>
      <c r="N43" s="762"/>
      <c r="O43" s="762"/>
      <c r="P43" s="762"/>
      <c r="Q43" s="762"/>
      <c r="R43" s="762"/>
      <c r="S43" s="762"/>
      <c r="T43" s="762"/>
      <c r="U43" s="762"/>
      <c r="V43" s="762"/>
      <c r="W43" s="762"/>
      <c r="X43" s="763"/>
    </row>
    <row r="44" spans="2:24" ht="23.1" customHeight="1">
      <c r="B44" s="28"/>
      <c r="C44" s="895" t="s">
        <v>332</v>
      </c>
      <c r="D44" s="630" t="s">
        <v>370</v>
      </c>
      <c r="E44" s="822">
        <v>-581578.26</v>
      </c>
      <c r="F44" s="822">
        <v>-649875.6</v>
      </c>
      <c r="G44" s="822">
        <v>-631258.16</v>
      </c>
      <c r="H44" s="822">
        <v>-657275.64</v>
      </c>
      <c r="I44" s="30"/>
      <c r="K44" s="761"/>
      <c r="L44" s="762"/>
      <c r="M44" s="762"/>
      <c r="N44" s="762"/>
      <c r="O44" s="762"/>
      <c r="P44" s="762"/>
      <c r="Q44" s="762"/>
      <c r="R44" s="762"/>
      <c r="S44" s="762"/>
      <c r="T44" s="762"/>
      <c r="U44" s="762"/>
      <c r="V44" s="762"/>
      <c r="W44" s="762"/>
      <c r="X44" s="763"/>
    </row>
    <row r="45" spans="2:24" ht="23.1" customHeight="1">
      <c r="B45" s="28"/>
      <c r="C45" s="895" t="s">
        <v>334</v>
      </c>
      <c r="D45" s="630" t="s">
        <v>371</v>
      </c>
      <c r="E45" s="822"/>
      <c r="F45" s="822"/>
      <c r="G45" s="822"/>
      <c r="H45" s="822"/>
      <c r="I45" s="30"/>
      <c r="K45" s="761"/>
      <c r="L45" s="762"/>
      <c r="M45" s="762"/>
      <c r="N45" s="762"/>
      <c r="O45" s="762"/>
      <c r="P45" s="762"/>
      <c r="Q45" s="762"/>
      <c r="R45" s="762"/>
      <c r="S45" s="762"/>
      <c r="T45" s="762"/>
      <c r="U45" s="762"/>
      <c r="V45" s="762"/>
      <c r="W45" s="762"/>
      <c r="X45" s="763"/>
    </row>
    <row r="46" spans="2:24" ht="23.1" customHeight="1">
      <c r="B46" s="28"/>
      <c r="C46" s="225" t="s">
        <v>372</v>
      </c>
      <c r="D46" s="43" t="s">
        <v>373</v>
      </c>
      <c r="E46" s="272">
        <v>19790.64</v>
      </c>
      <c r="F46" s="272">
        <v>26790.639999999999</v>
      </c>
      <c r="G46" s="272">
        <v>19790.64</v>
      </c>
      <c r="H46" s="272">
        <v>19790.64</v>
      </c>
      <c r="I46" s="30"/>
      <c r="K46" s="761"/>
      <c r="L46" s="762"/>
      <c r="M46" s="762"/>
      <c r="N46" s="762"/>
      <c r="O46" s="762"/>
      <c r="P46" s="762"/>
      <c r="Q46" s="762"/>
      <c r="R46" s="762"/>
      <c r="S46" s="762"/>
      <c r="T46" s="762"/>
      <c r="U46" s="762"/>
      <c r="V46" s="762"/>
      <c r="W46" s="762"/>
      <c r="X46" s="763"/>
    </row>
    <row r="47" spans="2:24" ht="23.1" customHeight="1">
      <c r="B47" s="28"/>
      <c r="C47" s="225" t="s">
        <v>374</v>
      </c>
      <c r="D47" s="43" t="s">
        <v>375</v>
      </c>
      <c r="E47" s="272"/>
      <c r="F47" s="272"/>
      <c r="G47" s="272"/>
      <c r="H47" s="272"/>
      <c r="I47" s="30"/>
      <c r="K47" s="761"/>
      <c r="L47" s="762"/>
      <c r="M47" s="762"/>
      <c r="N47" s="762"/>
      <c r="O47" s="762"/>
      <c r="P47" s="762"/>
      <c r="Q47" s="762"/>
      <c r="R47" s="762"/>
      <c r="S47" s="762"/>
      <c r="T47" s="762"/>
      <c r="U47" s="762"/>
      <c r="V47" s="762"/>
      <c r="W47" s="762"/>
      <c r="X47" s="763"/>
    </row>
    <row r="48" spans="2:24" ht="23.1" customHeight="1">
      <c r="B48" s="28"/>
      <c r="C48" s="225" t="s">
        <v>376</v>
      </c>
      <c r="D48" s="43" t="s">
        <v>377</v>
      </c>
      <c r="E48" s="92">
        <f>E49+E53+E57</f>
        <v>0</v>
      </c>
      <c r="F48" s="92">
        <f>F49+F53+F57</f>
        <v>0</v>
      </c>
      <c r="G48" s="92">
        <f>G49+G53+G57</f>
        <v>0</v>
      </c>
      <c r="H48" s="92">
        <f>H49+H53+H57</f>
        <v>0</v>
      </c>
      <c r="I48" s="30"/>
      <c r="K48" s="761"/>
      <c r="L48" s="762"/>
      <c r="M48" s="762"/>
      <c r="N48" s="762"/>
      <c r="O48" s="762"/>
      <c r="P48" s="762"/>
      <c r="Q48" s="762"/>
      <c r="R48" s="762"/>
      <c r="S48" s="762"/>
      <c r="T48" s="762"/>
      <c r="U48" s="762"/>
      <c r="V48" s="762"/>
      <c r="W48" s="762"/>
      <c r="X48" s="763"/>
    </row>
    <row r="49" spans="2:24" ht="23.1" customHeight="1">
      <c r="B49" s="28"/>
      <c r="C49" s="894" t="s">
        <v>330</v>
      </c>
      <c r="D49" s="630" t="s">
        <v>378</v>
      </c>
      <c r="E49" s="821">
        <f>SUM(E50:E52)</f>
        <v>0</v>
      </c>
      <c r="F49" s="821">
        <f>SUM(F50:F52)</f>
        <v>0</v>
      </c>
      <c r="G49" s="821">
        <f>SUM(G50:G52)</f>
        <v>0</v>
      </c>
      <c r="H49" s="821">
        <f>SUM(H50:H52)</f>
        <v>0</v>
      </c>
      <c r="I49" s="30"/>
      <c r="K49" s="761"/>
      <c r="L49" s="762"/>
      <c r="M49" s="762"/>
      <c r="N49" s="762"/>
      <c r="O49" s="762"/>
      <c r="P49" s="762"/>
      <c r="Q49" s="762"/>
      <c r="R49" s="762"/>
      <c r="S49" s="762"/>
      <c r="T49" s="762"/>
      <c r="U49" s="762"/>
      <c r="V49" s="762"/>
      <c r="W49" s="762"/>
      <c r="X49" s="763"/>
    </row>
    <row r="50" spans="2:24" ht="23.1" customHeight="1">
      <c r="B50" s="28"/>
      <c r="C50" s="230"/>
      <c r="D50" s="47" t="s">
        <v>379</v>
      </c>
      <c r="E50" s="324"/>
      <c r="F50" s="324"/>
      <c r="G50" s="324"/>
      <c r="H50" s="324"/>
      <c r="I50" s="30"/>
      <c r="K50" s="761"/>
      <c r="L50" s="762"/>
      <c r="M50" s="762"/>
      <c r="N50" s="762"/>
      <c r="O50" s="762"/>
      <c r="P50" s="762"/>
      <c r="Q50" s="762"/>
      <c r="R50" s="762"/>
      <c r="S50" s="762"/>
      <c r="T50" s="762"/>
      <c r="U50" s="762"/>
      <c r="V50" s="762"/>
      <c r="W50" s="762"/>
      <c r="X50" s="763"/>
    </row>
    <row r="51" spans="2:24" ht="23.1" customHeight="1">
      <c r="B51" s="28"/>
      <c r="C51" s="230"/>
      <c r="D51" s="47" t="s">
        <v>380</v>
      </c>
      <c r="E51" s="324"/>
      <c r="F51" s="324"/>
      <c r="G51" s="324"/>
      <c r="H51" s="324"/>
      <c r="I51" s="30"/>
      <c r="K51" s="761"/>
      <c r="L51" s="762"/>
      <c r="M51" s="762"/>
      <c r="N51" s="762"/>
      <c r="O51" s="762"/>
      <c r="P51" s="762"/>
      <c r="Q51" s="762"/>
      <c r="R51" s="762"/>
      <c r="S51" s="762"/>
      <c r="T51" s="762"/>
      <c r="U51" s="762"/>
      <c r="V51" s="762"/>
      <c r="W51" s="762"/>
      <c r="X51" s="763"/>
    </row>
    <row r="52" spans="2:24" ht="23.1" customHeight="1">
      <c r="B52" s="28"/>
      <c r="C52" s="230"/>
      <c r="D52" s="47" t="s">
        <v>381</v>
      </c>
      <c r="E52" s="324"/>
      <c r="F52" s="324"/>
      <c r="G52" s="324"/>
      <c r="H52" s="324"/>
      <c r="I52" s="30"/>
      <c r="K52" s="761"/>
      <c r="L52" s="762"/>
      <c r="M52" s="762"/>
      <c r="N52" s="762"/>
      <c r="O52" s="762"/>
      <c r="P52" s="762"/>
      <c r="Q52" s="762"/>
      <c r="R52" s="762"/>
      <c r="S52" s="762"/>
      <c r="T52" s="762"/>
      <c r="U52" s="762"/>
      <c r="V52" s="762"/>
      <c r="W52" s="762"/>
      <c r="X52" s="763"/>
    </row>
    <row r="53" spans="2:24" ht="23.1" customHeight="1">
      <c r="B53" s="28"/>
      <c r="C53" s="895" t="s">
        <v>332</v>
      </c>
      <c r="D53" s="630" t="s">
        <v>382</v>
      </c>
      <c r="E53" s="822">
        <f>SUM(E54:E56)</f>
        <v>0</v>
      </c>
      <c r="F53" s="822">
        <f>SUM(F54:F56)</f>
        <v>0</v>
      </c>
      <c r="G53" s="822">
        <f>SUM(G54:G56)</f>
        <v>0</v>
      </c>
      <c r="H53" s="822">
        <f>SUM(H54:H56)</f>
        <v>0</v>
      </c>
      <c r="I53" s="30"/>
      <c r="K53" s="761"/>
      <c r="L53" s="762"/>
      <c r="M53" s="762"/>
      <c r="N53" s="762"/>
      <c r="O53" s="762"/>
      <c r="P53" s="762"/>
      <c r="Q53" s="762"/>
      <c r="R53" s="762"/>
      <c r="S53" s="762"/>
      <c r="T53" s="762"/>
      <c r="U53" s="762"/>
      <c r="V53" s="762"/>
      <c r="W53" s="762"/>
      <c r="X53" s="763"/>
    </row>
    <row r="54" spans="2:24" ht="23.1" customHeight="1">
      <c r="B54" s="28"/>
      <c r="C54" s="230"/>
      <c r="D54" s="47" t="s">
        <v>379</v>
      </c>
      <c r="E54" s="324"/>
      <c r="F54" s="324"/>
      <c r="G54" s="324"/>
      <c r="H54" s="324"/>
      <c r="I54" s="30"/>
      <c r="K54" s="761"/>
      <c r="L54" s="762"/>
      <c r="M54" s="762"/>
      <c r="N54" s="762"/>
      <c r="O54" s="762"/>
      <c r="P54" s="762"/>
      <c r="Q54" s="762"/>
      <c r="R54" s="762"/>
      <c r="S54" s="762"/>
      <c r="T54" s="762"/>
      <c r="U54" s="762"/>
      <c r="V54" s="762"/>
      <c r="W54" s="762"/>
      <c r="X54" s="763"/>
    </row>
    <row r="55" spans="2:24" ht="23.1" customHeight="1">
      <c r="B55" s="28"/>
      <c r="C55" s="230"/>
      <c r="D55" s="47" t="s">
        <v>380</v>
      </c>
      <c r="E55" s="324"/>
      <c r="F55" s="324"/>
      <c r="G55" s="324"/>
      <c r="H55" s="324"/>
      <c r="I55" s="30"/>
      <c r="K55" s="761"/>
      <c r="L55" s="762"/>
      <c r="M55" s="762"/>
      <c r="N55" s="762"/>
      <c r="O55" s="762"/>
      <c r="P55" s="762"/>
      <c r="Q55" s="762"/>
      <c r="R55" s="762"/>
      <c r="S55" s="762"/>
      <c r="T55" s="762"/>
      <c r="U55" s="762"/>
      <c r="V55" s="762"/>
      <c r="W55" s="762"/>
      <c r="X55" s="763"/>
    </row>
    <row r="56" spans="2:24" ht="23.1" customHeight="1">
      <c r="B56" s="28"/>
      <c r="C56" s="230"/>
      <c r="D56" s="47" t="s">
        <v>381</v>
      </c>
      <c r="E56" s="324"/>
      <c r="F56" s="324"/>
      <c r="G56" s="324"/>
      <c r="H56" s="324"/>
      <c r="I56" s="30"/>
      <c r="K56" s="761"/>
      <c r="L56" s="762"/>
      <c r="M56" s="762"/>
      <c r="N56" s="762"/>
      <c r="O56" s="762"/>
      <c r="P56" s="762"/>
      <c r="Q56" s="762"/>
      <c r="R56" s="762"/>
      <c r="S56" s="762"/>
      <c r="T56" s="762"/>
      <c r="U56" s="762"/>
      <c r="V56" s="762"/>
      <c r="W56" s="762"/>
      <c r="X56" s="763"/>
    </row>
    <row r="57" spans="2:24" ht="23.1" customHeight="1">
      <c r="B57" s="28"/>
      <c r="C57" s="895" t="s">
        <v>334</v>
      </c>
      <c r="D57" s="630" t="s">
        <v>383</v>
      </c>
      <c r="E57" s="822"/>
      <c r="F57" s="822"/>
      <c r="G57" s="822"/>
      <c r="H57" s="822"/>
      <c r="I57" s="30"/>
      <c r="K57" s="761"/>
      <c r="L57" s="762"/>
      <c r="M57" s="762"/>
      <c r="N57" s="762"/>
      <c r="O57" s="762"/>
      <c r="P57" s="762"/>
      <c r="Q57" s="762"/>
      <c r="R57" s="762"/>
      <c r="S57" s="762"/>
      <c r="T57" s="762"/>
      <c r="U57" s="762"/>
      <c r="V57" s="762"/>
      <c r="W57" s="762"/>
      <c r="X57" s="763"/>
    </row>
    <row r="58" spans="2:24" ht="23.1" customHeight="1">
      <c r="B58" s="28"/>
      <c r="C58" s="225" t="s">
        <v>384</v>
      </c>
      <c r="D58" s="43" t="s">
        <v>385</v>
      </c>
      <c r="E58" s="92">
        <f>SUM(E59:E61)</f>
        <v>0</v>
      </c>
      <c r="F58" s="92">
        <f>SUM(F59:F61)</f>
        <v>0</v>
      </c>
      <c r="G58" s="92">
        <f>SUM(G59:G61)</f>
        <v>0</v>
      </c>
      <c r="H58" s="92">
        <f>SUM(H59:H61)</f>
        <v>0</v>
      </c>
      <c r="I58" s="30"/>
      <c r="K58" s="761"/>
      <c r="L58" s="762"/>
      <c r="M58" s="762"/>
      <c r="N58" s="762"/>
      <c r="O58" s="762"/>
      <c r="P58" s="762"/>
      <c r="Q58" s="762"/>
      <c r="R58" s="762"/>
      <c r="S58" s="762"/>
      <c r="T58" s="762"/>
      <c r="U58" s="762"/>
      <c r="V58" s="762"/>
      <c r="W58" s="762"/>
      <c r="X58" s="763"/>
    </row>
    <row r="59" spans="2:24" ht="23.1" customHeight="1">
      <c r="B59" s="28"/>
      <c r="C59" s="894" t="s">
        <v>330</v>
      </c>
      <c r="D59" s="629" t="s">
        <v>386</v>
      </c>
      <c r="E59" s="821"/>
      <c r="F59" s="821"/>
      <c r="G59" s="821"/>
      <c r="H59" s="821"/>
      <c r="I59" s="30"/>
      <c r="K59" s="761"/>
      <c r="L59" s="762"/>
      <c r="M59" s="762"/>
      <c r="N59" s="762"/>
      <c r="O59" s="762"/>
      <c r="P59" s="762"/>
      <c r="Q59" s="762"/>
      <c r="R59" s="762"/>
      <c r="S59" s="762"/>
      <c r="T59" s="762"/>
      <c r="U59" s="762"/>
      <c r="V59" s="762"/>
      <c r="W59" s="762"/>
      <c r="X59" s="763"/>
    </row>
    <row r="60" spans="2:24" ht="23.1" customHeight="1">
      <c r="B60" s="28"/>
      <c r="C60" s="895" t="s">
        <v>332</v>
      </c>
      <c r="D60" s="630" t="s">
        <v>387</v>
      </c>
      <c r="E60" s="822"/>
      <c r="F60" s="822"/>
      <c r="G60" s="822"/>
      <c r="H60" s="822"/>
      <c r="I60" s="30"/>
      <c r="K60" s="761"/>
      <c r="L60" s="762"/>
      <c r="M60" s="762"/>
      <c r="N60" s="762"/>
      <c r="O60" s="762"/>
      <c r="P60" s="762"/>
      <c r="Q60" s="762"/>
      <c r="R60" s="762"/>
      <c r="S60" s="762"/>
      <c r="T60" s="762"/>
      <c r="U60" s="762"/>
      <c r="V60" s="762"/>
      <c r="W60" s="762"/>
      <c r="X60" s="763"/>
    </row>
    <row r="61" spans="2:24" ht="23.1" customHeight="1">
      <c r="B61" s="28"/>
      <c r="C61" s="895" t="s">
        <v>334</v>
      </c>
      <c r="D61" s="630" t="s">
        <v>388</v>
      </c>
      <c r="E61" s="822"/>
      <c r="F61" s="822"/>
      <c r="G61" s="822"/>
      <c r="H61" s="822"/>
      <c r="I61" s="30"/>
      <c r="K61" s="761"/>
      <c r="L61" s="762"/>
      <c r="M61" s="762"/>
      <c r="N61" s="762"/>
      <c r="O61" s="762"/>
      <c r="P61" s="762"/>
      <c r="Q61" s="762"/>
      <c r="R61" s="762"/>
      <c r="S61" s="762"/>
      <c r="T61" s="762"/>
      <c r="U61" s="762"/>
      <c r="V61" s="762"/>
      <c r="W61" s="762"/>
      <c r="X61" s="763"/>
    </row>
    <row r="62" spans="2:24" ht="23.1" customHeight="1">
      <c r="B62" s="28"/>
      <c r="C62" s="225" t="s">
        <v>389</v>
      </c>
      <c r="D62" s="43" t="s">
        <v>390</v>
      </c>
      <c r="E62" s="272"/>
      <c r="F62" s="272"/>
      <c r="G62" s="272"/>
      <c r="H62" s="272"/>
      <c r="I62" s="30"/>
      <c r="K62" s="761"/>
      <c r="L62" s="762"/>
      <c r="M62" s="762"/>
      <c r="N62" s="762"/>
      <c r="O62" s="762"/>
      <c r="P62" s="762"/>
      <c r="Q62" s="762"/>
      <c r="R62" s="762"/>
      <c r="S62" s="762"/>
      <c r="T62" s="762"/>
      <c r="U62" s="762"/>
      <c r="V62" s="762"/>
      <c r="W62" s="762"/>
      <c r="X62" s="763"/>
    </row>
    <row r="63" spans="2:24" ht="23.1" customHeight="1">
      <c r="B63" s="28"/>
      <c r="C63" s="225" t="s">
        <v>391</v>
      </c>
      <c r="D63" s="43" t="s">
        <v>392</v>
      </c>
      <c r="E63" s="92">
        <f>SUM(E64:E65)</f>
        <v>3455487.1500000004</v>
      </c>
      <c r="F63" s="92">
        <f>SUM(F64:F65)</f>
        <v>0</v>
      </c>
      <c r="G63" s="92">
        <f>SUM(G64:G65)</f>
        <v>39735.199999999997</v>
      </c>
      <c r="H63" s="92">
        <f>SUM(H64:H65)</f>
        <v>0</v>
      </c>
      <c r="I63" s="30"/>
      <c r="K63" s="761"/>
      <c r="L63" s="762"/>
      <c r="M63" s="762"/>
      <c r="N63" s="762"/>
      <c r="O63" s="762"/>
      <c r="P63" s="762"/>
      <c r="Q63" s="762"/>
      <c r="R63" s="762"/>
      <c r="S63" s="762"/>
      <c r="T63" s="762"/>
      <c r="U63" s="762"/>
      <c r="V63" s="762"/>
      <c r="W63" s="762"/>
      <c r="X63" s="763"/>
    </row>
    <row r="64" spans="2:24" s="45" customFormat="1" ht="23.1" customHeight="1">
      <c r="B64" s="28"/>
      <c r="C64" s="894" t="s">
        <v>330</v>
      </c>
      <c r="D64" s="629" t="s">
        <v>393</v>
      </c>
      <c r="E64" s="821">
        <v>-10122.51</v>
      </c>
      <c r="F64" s="821"/>
      <c r="G64" s="821"/>
      <c r="H64" s="821"/>
      <c r="I64" s="30"/>
      <c r="J64" s="23"/>
      <c r="K64" s="761"/>
      <c r="L64" s="762"/>
      <c r="M64" s="762"/>
      <c r="N64" s="762"/>
      <c r="O64" s="762"/>
      <c r="P64" s="762"/>
      <c r="Q64" s="762"/>
      <c r="R64" s="762"/>
      <c r="S64" s="762"/>
      <c r="T64" s="762"/>
      <c r="U64" s="762"/>
      <c r="V64" s="762"/>
      <c r="W64" s="762"/>
      <c r="X64" s="763"/>
    </row>
    <row r="65" spans="2:24" ht="23.1" customHeight="1">
      <c r="B65" s="28"/>
      <c r="C65" s="631" t="s">
        <v>332</v>
      </c>
      <c r="D65" s="632" t="s">
        <v>394</v>
      </c>
      <c r="E65" s="719">
        <v>3465609.66</v>
      </c>
      <c r="F65" s="719"/>
      <c r="G65" s="719">
        <v>39735.199999999997</v>
      </c>
      <c r="H65" s="719"/>
      <c r="I65" s="30"/>
      <c r="K65" s="761"/>
      <c r="L65" s="762"/>
      <c r="M65" s="762"/>
      <c r="N65" s="762"/>
      <c r="O65" s="762"/>
      <c r="P65" s="762"/>
      <c r="Q65" s="762"/>
      <c r="R65" s="762"/>
      <c r="S65" s="762"/>
      <c r="T65" s="762"/>
      <c r="U65" s="762"/>
      <c r="V65" s="762"/>
      <c r="W65" s="762"/>
      <c r="X65" s="763"/>
    </row>
    <row r="66" spans="2:24" ht="23.1" customHeight="1" thickBot="1">
      <c r="B66" s="10"/>
      <c r="C66" s="228" t="s">
        <v>395</v>
      </c>
      <c r="D66" s="52" t="s">
        <v>396</v>
      </c>
      <c r="E66" s="234">
        <f>E16+E20+E21+E22+E27+E30+E36+E42+E46+E47+E48+E58+E62+E63</f>
        <v>4997366.5600000005</v>
      </c>
      <c r="F66" s="234">
        <f>F16+F20+F21+F22+F27+F30+F36+F42+F46+F47+F48+F58+F62+F63</f>
        <v>1509471.449999999</v>
      </c>
      <c r="G66" s="234">
        <f>G16+G20+G21+G22+G27+G30+G36+G42+G46+G47+G48+G58+G62+G63</f>
        <v>1667667.9700000007</v>
      </c>
      <c r="H66" s="234">
        <f>H16+H20+H21+H22+H27+H30+H36+H42+H46+H47+H48+H58+H62+H63</f>
        <v>1587510.74</v>
      </c>
      <c r="I66" s="37"/>
      <c r="K66" s="761"/>
      <c r="L66" s="762"/>
      <c r="M66" s="762"/>
      <c r="N66" s="762"/>
      <c r="O66" s="762"/>
      <c r="P66" s="762"/>
      <c r="Q66" s="762"/>
      <c r="R66" s="762"/>
      <c r="S66" s="762"/>
      <c r="T66" s="762"/>
      <c r="U66" s="762"/>
      <c r="V66" s="762"/>
      <c r="W66" s="762"/>
      <c r="X66" s="763"/>
    </row>
    <row r="67" spans="2:24" ht="23.1" customHeight="1">
      <c r="B67" s="28"/>
      <c r="C67" s="229"/>
      <c r="D67" s="1"/>
      <c r="E67" s="90"/>
      <c r="F67" s="90"/>
      <c r="G67" s="90"/>
      <c r="H67" s="90"/>
      <c r="I67" s="30"/>
      <c r="K67" s="761"/>
      <c r="L67" s="762"/>
      <c r="M67" s="762"/>
      <c r="N67" s="762"/>
      <c r="O67" s="762"/>
      <c r="P67" s="762"/>
      <c r="Q67" s="762"/>
      <c r="R67" s="762"/>
      <c r="S67" s="762"/>
      <c r="T67" s="762"/>
      <c r="U67" s="762"/>
      <c r="V67" s="762"/>
      <c r="W67" s="762"/>
      <c r="X67" s="763"/>
    </row>
    <row r="68" spans="2:24" ht="23.1" customHeight="1">
      <c r="B68" s="28"/>
      <c r="C68" s="225" t="s">
        <v>397</v>
      </c>
      <c r="D68" s="43" t="s">
        <v>398</v>
      </c>
      <c r="E68" s="92">
        <f>E69+E72+E75</f>
        <v>25146.45</v>
      </c>
      <c r="F68" s="92">
        <f>F69+F72+F75</f>
        <v>23062.9</v>
      </c>
      <c r="G68" s="92">
        <f>G69+G72+G75</f>
        <v>50379.45</v>
      </c>
      <c r="H68" s="92">
        <f>H69+H72+H75</f>
        <v>23062.9</v>
      </c>
      <c r="I68" s="30"/>
      <c r="K68" s="761"/>
      <c r="L68" s="762"/>
      <c r="M68" s="762"/>
      <c r="N68" s="762"/>
      <c r="O68" s="762"/>
      <c r="P68" s="762"/>
      <c r="Q68" s="762"/>
      <c r="R68" s="762"/>
      <c r="S68" s="762"/>
      <c r="T68" s="762"/>
      <c r="U68" s="762"/>
      <c r="V68" s="762"/>
      <c r="W68" s="762"/>
      <c r="X68" s="763"/>
    </row>
    <row r="69" spans="2:24" ht="23.1" customHeight="1">
      <c r="B69" s="28"/>
      <c r="C69" s="894" t="s">
        <v>330</v>
      </c>
      <c r="D69" s="629" t="s">
        <v>399</v>
      </c>
      <c r="E69" s="896">
        <f>SUM(E70:E71)</f>
        <v>25146.45</v>
      </c>
      <c r="F69" s="896">
        <f>SUM(F70:F71)</f>
        <v>23062.9</v>
      </c>
      <c r="G69" s="896">
        <f>SUM(G70:G71)</f>
        <v>50379.45</v>
      </c>
      <c r="H69" s="896">
        <f>SUM(H70:H71)</f>
        <v>23062.9</v>
      </c>
      <c r="I69" s="30"/>
      <c r="K69" s="761"/>
      <c r="L69" s="762"/>
      <c r="M69" s="762"/>
      <c r="N69" s="762"/>
      <c r="O69" s="762"/>
      <c r="P69" s="762"/>
      <c r="Q69" s="762"/>
      <c r="R69" s="762"/>
      <c r="S69" s="762"/>
      <c r="T69" s="762"/>
      <c r="U69" s="762"/>
      <c r="V69" s="762"/>
      <c r="W69" s="762"/>
      <c r="X69" s="763"/>
    </row>
    <row r="70" spans="2:24" ht="23.1" customHeight="1">
      <c r="B70" s="28"/>
      <c r="C70" s="230" t="s">
        <v>400</v>
      </c>
      <c r="D70" s="47" t="s">
        <v>401</v>
      </c>
      <c r="E70" s="324"/>
      <c r="F70" s="324"/>
      <c r="G70" s="324"/>
      <c r="H70" s="324"/>
      <c r="I70" s="30"/>
      <c r="K70" s="761"/>
      <c r="L70" s="762"/>
      <c r="M70" s="762"/>
      <c r="N70" s="762"/>
      <c r="O70" s="762"/>
      <c r="P70" s="762"/>
      <c r="Q70" s="762"/>
      <c r="R70" s="762"/>
      <c r="S70" s="762"/>
      <c r="T70" s="762"/>
      <c r="U70" s="762"/>
      <c r="V70" s="762"/>
      <c r="W70" s="762"/>
      <c r="X70" s="763"/>
    </row>
    <row r="71" spans="2:24" ht="23.1" customHeight="1">
      <c r="B71" s="28"/>
      <c r="C71" s="230" t="s">
        <v>402</v>
      </c>
      <c r="D71" s="47" t="s">
        <v>403</v>
      </c>
      <c r="E71" s="324">
        <v>25146.45</v>
      </c>
      <c r="F71" s="324">
        <v>23062.9</v>
      </c>
      <c r="G71" s="324">
        <v>50379.45</v>
      </c>
      <c r="H71" s="324">
        <v>23062.9</v>
      </c>
      <c r="I71" s="30"/>
      <c r="K71" s="761"/>
      <c r="L71" s="762"/>
      <c r="M71" s="762"/>
      <c r="N71" s="762"/>
      <c r="O71" s="762"/>
      <c r="P71" s="762"/>
      <c r="Q71" s="762"/>
      <c r="R71" s="762"/>
      <c r="S71" s="762"/>
      <c r="T71" s="762"/>
      <c r="U71" s="762"/>
      <c r="V71" s="762"/>
      <c r="W71" s="762"/>
      <c r="X71" s="763"/>
    </row>
    <row r="72" spans="2:24" ht="23.1" customHeight="1">
      <c r="B72" s="28"/>
      <c r="C72" s="897" t="s">
        <v>332</v>
      </c>
      <c r="D72" s="898" t="s">
        <v>404</v>
      </c>
      <c r="E72" s="899">
        <f>SUM(E73:E74)</f>
        <v>0</v>
      </c>
      <c r="F72" s="899">
        <f>SUM(F73:F74)</f>
        <v>0</v>
      </c>
      <c r="G72" s="899">
        <f>SUM(G73:G74)</f>
        <v>0</v>
      </c>
      <c r="H72" s="899">
        <f>SUM(H73:H74)</f>
        <v>0</v>
      </c>
      <c r="I72" s="30"/>
      <c r="K72" s="761"/>
      <c r="L72" s="762"/>
      <c r="M72" s="762"/>
      <c r="N72" s="762"/>
      <c r="O72" s="762"/>
      <c r="P72" s="762"/>
      <c r="Q72" s="762"/>
      <c r="R72" s="762"/>
      <c r="S72" s="762"/>
      <c r="T72" s="762"/>
      <c r="U72" s="762"/>
      <c r="V72" s="762"/>
      <c r="W72" s="762"/>
      <c r="X72" s="763"/>
    </row>
    <row r="73" spans="2:24" ht="23.1" customHeight="1">
      <c r="B73" s="28"/>
      <c r="C73" s="230" t="s">
        <v>405</v>
      </c>
      <c r="D73" s="47" t="s">
        <v>406</v>
      </c>
      <c r="E73" s="324"/>
      <c r="F73" s="324"/>
      <c r="G73" s="324"/>
      <c r="H73" s="324"/>
      <c r="I73" s="30"/>
      <c r="K73" s="761"/>
      <c r="L73" s="762"/>
      <c r="M73" s="762"/>
      <c r="N73" s="762"/>
      <c r="O73" s="762"/>
      <c r="P73" s="762"/>
      <c r="Q73" s="762"/>
      <c r="R73" s="762"/>
      <c r="S73" s="762"/>
      <c r="T73" s="762"/>
      <c r="U73" s="762"/>
      <c r="V73" s="762"/>
      <c r="W73" s="762"/>
      <c r="X73" s="763"/>
    </row>
    <row r="74" spans="2:24" ht="23.1" customHeight="1">
      <c r="B74" s="28"/>
      <c r="C74" s="230" t="s">
        <v>407</v>
      </c>
      <c r="D74" s="47" t="s">
        <v>408</v>
      </c>
      <c r="E74" s="324"/>
      <c r="F74" s="324"/>
      <c r="G74" s="324"/>
      <c r="H74" s="324"/>
      <c r="I74" s="30"/>
      <c r="K74" s="761"/>
      <c r="L74" s="762"/>
      <c r="M74" s="762"/>
      <c r="N74" s="762"/>
      <c r="O74" s="762"/>
      <c r="P74" s="762"/>
      <c r="Q74" s="762"/>
      <c r="R74" s="762"/>
      <c r="S74" s="762"/>
      <c r="T74" s="762"/>
      <c r="U74" s="762"/>
      <c r="V74" s="762"/>
      <c r="W74" s="762"/>
      <c r="X74" s="763"/>
    </row>
    <row r="75" spans="2:24" ht="23.1" customHeight="1">
      <c r="B75" s="28"/>
      <c r="C75" s="897" t="s">
        <v>334</v>
      </c>
      <c r="D75" s="898" t="s">
        <v>409</v>
      </c>
      <c r="E75" s="900"/>
      <c r="F75" s="900"/>
      <c r="G75" s="900"/>
      <c r="H75" s="900"/>
      <c r="I75" s="30"/>
      <c r="K75" s="761"/>
      <c r="L75" s="762"/>
      <c r="M75" s="762"/>
      <c r="N75" s="762"/>
      <c r="O75" s="762"/>
      <c r="P75" s="762"/>
      <c r="Q75" s="762"/>
      <c r="R75" s="762"/>
      <c r="S75" s="762"/>
      <c r="T75" s="762"/>
      <c r="U75" s="762"/>
      <c r="V75" s="762"/>
      <c r="W75" s="762"/>
      <c r="X75" s="763"/>
    </row>
    <row r="76" spans="2:24" ht="23.1" customHeight="1">
      <c r="B76" s="28"/>
      <c r="C76" s="225" t="s">
        <v>410</v>
      </c>
      <c r="D76" s="43" t="s">
        <v>411</v>
      </c>
      <c r="E76" s="92">
        <f>SUM(E77:E79)</f>
        <v>0</v>
      </c>
      <c r="F76" s="92">
        <f>SUM(F77:F79)</f>
        <v>0</v>
      </c>
      <c r="G76" s="92">
        <f>SUM(G77:G79)</f>
        <v>0</v>
      </c>
      <c r="H76" s="92">
        <f>SUM(H77:H79)</f>
        <v>0</v>
      </c>
      <c r="I76" s="30"/>
      <c r="K76" s="761"/>
      <c r="L76" s="762"/>
      <c r="M76" s="762"/>
      <c r="N76" s="762"/>
      <c r="O76" s="762"/>
      <c r="P76" s="762"/>
      <c r="Q76" s="762"/>
      <c r="R76" s="762"/>
      <c r="S76" s="762"/>
      <c r="T76" s="762"/>
      <c r="U76" s="762"/>
      <c r="V76" s="762"/>
      <c r="W76" s="762"/>
      <c r="X76" s="763"/>
    </row>
    <row r="77" spans="2:24" ht="23.1" customHeight="1">
      <c r="B77" s="28"/>
      <c r="C77" s="897" t="s">
        <v>330</v>
      </c>
      <c r="D77" s="898" t="s">
        <v>412</v>
      </c>
      <c r="E77" s="900"/>
      <c r="F77" s="900"/>
      <c r="G77" s="900"/>
      <c r="H77" s="900"/>
      <c r="I77" s="30"/>
      <c r="K77" s="761"/>
      <c r="L77" s="762"/>
      <c r="M77" s="762"/>
      <c r="N77" s="762"/>
      <c r="O77" s="762"/>
      <c r="P77" s="762"/>
      <c r="Q77" s="762"/>
      <c r="R77" s="762"/>
      <c r="S77" s="762"/>
      <c r="T77" s="762"/>
      <c r="U77" s="762"/>
      <c r="V77" s="762"/>
      <c r="W77" s="762"/>
      <c r="X77" s="763"/>
    </row>
    <row r="78" spans="2:24" ht="23.1" customHeight="1">
      <c r="B78" s="28"/>
      <c r="C78" s="897" t="s">
        <v>332</v>
      </c>
      <c r="D78" s="898" t="s">
        <v>413</v>
      </c>
      <c r="E78" s="900"/>
      <c r="F78" s="900"/>
      <c r="G78" s="900"/>
      <c r="H78" s="900"/>
      <c r="I78" s="30"/>
      <c r="K78" s="761"/>
      <c r="L78" s="762"/>
      <c r="M78" s="762"/>
      <c r="N78" s="762"/>
      <c r="O78" s="762"/>
      <c r="P78" s="762"/>
      <c r="Q78" s="762"/>
      <c r="R78" s="762"/>
      <c r="S78" s="762"/>
      <c r="T78" s="762"/>
      <c r="U78" s="762"/>
      <c r="V78" s="762"/>
      <c r="W78" s="762"/>
      <c r="X78" s="763"/>
    </row>
    <row r="79" spans="2:24" ht="23.1" customHeight="1">
      <c r="B79" s="28"/>
      <c r="C79" s="897" t="s">
        <v>334</v>
      </c>
      <c r="D79" s="898" t="s">
        <v>414</v>
      </c>
      <c r="E79" s="900"/>
      <c r="F79" s="900"/>
      <c r="G79" s="900"/>
      <c r="H79" s="900"/>
      <c r="I79" s="30"/>
      <c r="K79" s="761"/>
      <c r="L79" s="762"/>
      <c r="M79" s="762"/>
      <c r="N79" s="762"/>
      <c r="O79" s="762"/>
      <c r="P79" s="762"/>
      <c r="Q79" s="762"/>
      <c r="R79" s="762"/>
      <c r="S79" s="762"/>
      <c r="T79" s="762"/>
      <c r="U79" s="762"/>
      <c r="V79" s="762"/>
      <c r="W79" s="762"/>
      <c r="X79" s="763"/>
    </row>
    <row r="80" spans="2:24" ht="23.1" customHeight="1">
      <c r="B80" s="28"/>
      <c r="C80" s="225" t="s">
        <v>415</v>
      </c>
      <c r="D80" s="43" t="s">
        <v>416</v>
      </c>
      <c r="E80" s="92">
        <f>SUM(E81:E82)</f>
        <v>0</v>
      </c>
      <c r="F80" s="92">
        <f>SUM(F81:F82)</f>
        <v>0</v>
      </c>
      <c r="G80" s="92">
        <f>SUM(G81:G82)</f>
        <v>0</v>
      </c>
      <c r="H80" s="92">
        <f>SUM(H81:H82)</f>
        <v>0</v>
      </c>
      <c r="I80" s="30"/>
      <c r="K80" s="761"/>
      <c r="L80" s="762"/>
      <c r="M80" s="762"/>
      <c r="N80" s="762"/>
      <c r="O80" s="762"/>
      <c r="P80" s="762"/>
      <c r="Q80" s="762"/>
      <c r="R80" s="762"/>
      <c r="S80" s="762"/>
      <c r="T80" s="762"/>
      <c r="U80" s="762"/>
      <c r="V80" s="762"/>
      <c r="W80" s="762"/>
      <c r="X80" s="763"/>
    </row>
    <row r="81" spans="2:24" ht="23.1" customHeight="1">
      <c r="B81" s="28"/>
      <c r="C81" s="897" t="s">
        <v>330</v>
      </c>
      <c r="D81" s="898" t="s">
        <v>417</v>
      </c>
      <c r="E81" s="900"/>
      <c r="F81" s="900"/>
      <c r="G81" s="900"/>
      <c r="H81" s="900"/>
      <c r="I81" s="30"/>
      <c r="K81" s="761"/>
      <c r="L81" s="762"/>
      <c r="M81" s="762"/>
      <c r="N81" s="762"/>
      <c r="O81" s="762"/>
      <c r="P81" s="762"/>
      <c r="Q81" s="762"/>
      <c r="R81" s="762"/>
      <c r="S81" s="762"/>
      <c r="T81" s="762"/>
      <c r="U81" s="762"/>
      <c r="V81" s="762"/>
      <c r="W81" s="762"/>
      <c r="X81" s="763"/>
    </row>
    <row r="82" spans="2:24" ht="23.1" customHeight="1">
      <c r="B82" s="28"/>
      <c r="C82" s="897" t="s">
        <v>332</v>
      </c>
      <c r="D82" s="898" t="s">
        <v>418</v>
      </c>
      <c r="E82" s="900"/>
      <c r="F82" s="900"/>
      <c r="G82" s="900"/>
      <c r="H82" s="900"/>
      <c r="I82" s="30"/>
      <c r="K82" s="761"/>
      <c r="L82" s="762"/>
      <c r="M82" s="762"/>
      <c r="N82" s="762"/>
      <c r="O82" s="762"/>
      <c r="P82" s="762"/>
      <c r="Q82" s="762"/>
      <c r="R82" s="762"/>
      <c r="S82" s="762"/>
      <c r="T82" s="762"/>
      <c r="U82" s="762"/>
      <c r="V82" s="762"/>
      <c r="W82" s="762"/>
      <c r="X82" s="763"/>
    </row>
    <row r="83" spans="2:24" ht="23.1" customHeight="1">
      <c r="B83" s="28"/>
      <c r="C83" s="225" t="s">
        <v>419</v>
      </c>
      <c r="D83" s="43" t="s">
        <v>420</v>
      </c>
      <c r="E83" s="272">
        <v>0</v>
      </c>
      <c r="F83" s="272">
        <v>0</v>
      </c>
      <c r="G83" s="272">
        <v>0</v>
      </c>
      <c r="H83" s="272">
        <v>0</v>
      </c>
      <c r="I83" s="30"/>
      <c r="K83" s="761"/>
      <c r="L83" s="762"/>
      <c r="M83" s="762"/>
      <c r="N83" s="762"/>
      <c r="O83" s="762"/>
      <c r="P83" s="762"/>
      <c r="Q83" s="762"/>
      <c r="R83" s="762"/>
      <c r="S83" s="762"/>
      <c r="T83" s="762"/>
      <c r="U83" s="762"/>
      <c r="V83" s="762"/>
      <c r="W83" s="762"/>
      <c r="X83" s="763"/>
    </row>
    <row r="84" spans="2:24" ht="23.1" customHeight="1">
      <c r="B84" s="28"/>
      <c r="C84" s="225" t="s">
        <v>421</v>
      </c>
      <c r="D84" s="43" t="s">
        <v>422</v>
      </c>
      <c r="E84" s="92">
        <f>SUM(E85:E86)</f>
        <v>0</v>
      </c>
      <c r="F84" s="92">
        <f>SUM(F85:F86)</f>
        <v>0</v>
      </c>
      <c r="G84" s="92">
        <f>SUM(G85:G86)</f>
        <v>0</v>
      </c>
      <c r="H84" s="92">
        <f>SUM(H85:H86)</f>
        <v>0</v>
      </c>
      <c r="I84" s="30"/>
      <c r="K84" s="761"/>
      <c r="L84" s="762"/>
      <c r="M84" s="762"/>
      <c r="N84" s="762"/>
      <c r="O84" s="762"/>
      <c r="P84" s="762"/>
      <c r="Q84" s="762"/>
      <c r="R84" s="762"/>
      <c r="S84" s="762"/>
      <c r="T84" s="762"/>
      <c r="U84" s="762"/>
      <c r="V84" s="762"/>
      <c r="W84" s="762"/>
      <c r="X84" s="763"/>
    </row>
    <row r="85" spans="2:24" ht="23.1" customHeight="1">
      <c r="B85" s="28"/>
      <c r="C85" s="897" t="s">
        <v>330</v>
      </c>
      <c r="D85" s="898" t="s">
        <v>423</v>
      </c>
      <c r="E85" s="900"/>
      <c r="F85" s="900"/>
      <c r="G85" s="900"/>
      <c r="H85" s="900"/>
      <c r="I85" s="30"/>
      <c r="K85" s="761"/>
      <c r="L85" s="762"/>
      <c r="M85" s="762"/>
      <c r="N85" s="762"/>
      <c r="O85" s="762"/>
      <c r="P85" s="762"/>
      <c r="Q85" s="762"/>
      <c r="R85" s="762"/>
      <c r="S85" s="762"/>
      <c r="T85" s="762"/>
      <c r="U85" s="762"/>
      <c r="V85" s="762"/>
      <c r="W85" s="762"/>
      <c r="X85" s="763"/>
    </row>
    <row r="86" spans="2:24" ht="23.1" customHeight="1">
      <c r="B86" s="28"/>
      <c r="C86" s="897" t="s">
        <v>332</v>
      </c>
      <c r="D86" s="898" t="s">
        <v>382</v>
      </c>
      <c r="E86" s="900"/>
      <c r="F86" s="900"/>
      <c r="G86" s="900"/>
      <c r="H86" s="900"/>
      <c r="I86" s="30"/>
      <c r="K86" s="761"/>
      <c r="L86" s="762"/>
      <c r="M86" s="762"/>
      <c r="N86" s="762"/>
      <c r="O86" s="762"/>
      <c r="P86" s="762"/>
      <c r="Q86" s="762"/>
      <c r="R86" s="762"/>
      <c r="S86" s="762"/>
      <c r="T86" s="762"/>
      <c r="U86" s="762"/>
      <c r="V86" s="762"/>
      <c r="W86" s="762"/>
      <c r="X86" s="763"/>
    </row>
    <row r="87" spans="2:24" ht="23.1" customHeight="1">
      <c r="B87" s="28"/>
      <c r="C87" s="225" t="s">
        <v>424</v>
      </c>
      <c r="D87" s="43" t="s">
        <v>425</v>
      </c>
      <c r="E87" s="92">
        <f>SUM(E88:E90)</f>
        <v>0</v>
      </c>
      <c r="F87" s="92">
        <f>SUM(F88:F90)</f>
        <v>0</v>
      </c>
      <c r="G87" s="92">
        <f>SUM(G88:G90)</f>
        <v>0</v>
      </c>
      <c r="H87" s="92">
        <f>SUM(H88:H90)</f>
        <v>0</v>
      </c>
      <c r="I87" s="30"/>
      <c r="K87" s="761"/>
      <c r="L87" s="762"/>
      <c r="M87" s="762"/>
      <c r="N87" s="762"/>
      <c r="O87" s="762"/>
      <c r="P87" s="762"/>
      <c r="Q87" s="762"/>
      <c r="R87" s="762"/>
      <c r="S87" s="762"/>
      <c r="T87" s="762"/>
      <c r="U87" s="762"/>
      <c r="V87" s="762"/>
      <c r="W87" s="762"/>
      <c r="X87" s="763"/>
    </row>
    <row r="88" spans="2:24" ht="23.1" customHeight="1">
      <c r="B88" s="28"/>
      <c r="C88" s="897" t="s">
        <v>330</v>
      </c>
      <c r="D88" s="898" t="s">
        <v>426</v>
      </c>
      <c r="E88" s="900"/>
      <c r="F88" s="900"/>
      <c r="G88" s="900"/>
      <c r="H88" s="900"/>
      <c r="I88" s="30"/>
      <c r="K88" s="761"/>
      <c r="L88" s="762"/>
      <c r="M88" s="762"/>
      <c r="N88" s="762"/>
      <c r="O88" s="762"/>
      <c r="P88" s="762"/>
      <c r="Q88" s="762"/>
      <c r="R88" s="762"/>
      <c r="S88" s="762"/>
      <c r="T88" s="762"/>
      <c r="U88" s="762"/>
      <c r="V88" s="762"/>
      <c r="W88" s="762"/>
      <c r="X88" s="763"/>
    </row>
    <row r="89" spans="2:24" s="45" customFormat="1" ht="23.1" customHeight="1">
      <c r="B89" s="28"/>
      <c r="C89" s="897" t="s">
        <v>332</v>
      </c>
      <c r="D89" s="898" t="s">
        <v>427</v>
      </c>
      <c r="E89" s="900"/>
      <c r="F89" s="900"/>
      <c r="G89" s="900"/>
      <c r="H89" s="900"/>
      <c r="I89" s="30"/>
      <c r="J89" s="23"/>
      <c r="K89" s="761"/>
      <c r="L89" s="762"/>
      <c r="M89" s="762"/>
      <c r="N89" s="762"/>
      <c r="O89" s="762"/>
      <c r="P89" s="762"/>
      <c r="Q89" s="762"/>
      <c r="R89" s="762"/>
      <c r="S89" s="762"/>
      <c r="T89" s="762"/>
      <c r="U89" s="762"/>
      <c r="V89" s="762"/>
      <c r="W89" s="762"/>
      <c r="X89" s="763"/>
    </row>
    <row r="90" spans="2:24" ht="23.1" customHeight="1">
      <c r="B90" s="28"/>
      <c r="C90" s="897" t="s">
        <v>334</v>
      </c>
      <c r="D90" s="898" t="s">
        <v>428</v>
      </c>
      <c r="E90" s="900"/>
      <c r="F90" s="900"/>
      <c r="G90" s="900"/>
      <c r="H90" s="900"/>
      <c r="I90" s="30"/>
      <c r="K90" s="761"/>
      <c r="L90" s="762"/>
      <c r="M90" s="762"/>
      <c r="N90" s="762"/>
      <c r="O90" s="762"/>
      <c r="P90" s="762"/>
      <c r="Q90" s="762"/>
      <c r="R90" s="762"/>
      <c r="S90" s="762"/>
      <c r="T90" s="762"/>
      <c r="U90" s="762"/>
      <c r="V90" s="762"/>
      <c r="W90" s="762"/>
      <c r="X90" s="763"/>
    </row>
    <row r="91" spans="2:24" s="45" customFormat="1" ht="23.1" customHeight="1" thickBot="1">
      <c r="B91" s="10"/>
      <c r="C91" s="231" t="s">
        <v>429</v>
      </c>
      <c r="D91" s="44" t="s">
        <v>430</v>
      </c>
      <c r="E91" s="234">
        <f>E68+E76+E80+E83+E84+E87</f>
        <v>25146.45</v>
      </c>
      <c r="F91" s="234">
        <f>F68+F76+F80+F83+F84+F87</f>
        <v>23062.9</v>
      </c>
      <c r="G91" s="234">
        <f>G68+G76+G80+G83+G84+G87</f>
        <v>50379.45</v>
      </c>
      <c r="H91" s="234">
        <f>H68+H76+H80+H83+H84+H87</f>
        <v>23062.9</v>
      </c>
      <c r="I91" s="37"/>
      <c r="K91" s="761"/>
      <c r="L91" s="762"/>
      <c r="M91" s="762"/>
      <c r="N91" s="762"/>
      <c r="O91" s="762"/>
      <c r="P91" s="762"/>
      <c r="Q91" s="762"/>
      <c r="R91" s="762"/>
      <c r="S91" s="762"/>
      <c r="T91" s="762"/>
      <c r="U91" s="762"/>
      <c r="V91" s="762"/>
      <c r="W91" s="762"/>
      <c r="X91" s="763"/>
    </row>
    <row r="92" spans="2:24" ht="23.1" customHeight="1">
      <c r="B92" s="28"/>
      <c r="C92" s="901"/>
      <c r="D92" s="902"/>
      <c r="E92" s="235"/>
      <c r="F92" s="235"/>
      <c r="G92" s="235"/>
      <c r="H92" s="235"/>
      <c r="I92" s="30"/>
      <c r="K92" s="761"/>
      <c r="L92" s="762"/>
      <c r="M92" s="762"/>
      <c r="N92" s="762"/>
      <c r="O92" s="762"/>
      <c r="P92" s="762"/>
      <c r="Q92" s="762"/>
      <c r="R92" s="762"/>
      <c r="S92" s="762"/>
      <c r="T92" s="762"/>
      <c r="U92" s="762"/>
      <c r="V92" s="762"/>
      <c r="W92" s="762"/>
      <c r="X92" s="763"/>
    </row>
    <row r="93" spans="2:24" ht="23.1" customHeight="1" thickBot="1">
      <c r="B93" s="10"/>
      <c r="C93" s="232" t="s">
        <v>431</v>
      </c>
      <c r="D93" s="46" t="s">
        <v>432</v>
      </c>
      <c r="E93" s="236">
        <f>E91+E66</f>
        <v>5022513.0100000007</v>
      </c>
      <c r="F93" s="236">
        <f>F91+F66</f>
        <v>1532534.3499999989</v>
      </c>
      <c r="G93" s="236">
        <f>G91+G66</f>
        <v>1718047.4200000006</v>
      </c>
      <c r="H93" s="236">
        <f>H91+H66</f>
        <v>1610573.64</v>
      </c>
      <c r="I93" s="37"/>
      <c r="J93" s="45"/>
      <c r="K93" s="761"/>
      <c r="L93" s="762"/>
      <c r="M93" s="762"/>
      <c r="N93" s="762"/>
      <c r="O93" s="762"/>
      <c r="P93" s="762"/>
      <c r="Q93" s="762"/>
      <c r="R93" s="762"/>
      <c r="S93" s="762"/>
      <c r="T93" s="762"/>
      <c r="U93" s="762"/>
      <c r="V93" s="762"/>
      <c r="W93" s="762"/>
      <c r="X93" s="763"/>
    </row>
    <row r="94" spans="2:24" s="45" customFormat="1" ht="23.1" customHeight="1">
      <c r="B94" s="28"/>
      <c r="C94" s="225" t="s">
        <v>433</v>
      </c>
      <c r="D94" s="43" t="s">
        <v>434</v>
      </c>
      <c r="E94" s="272"/>
      <c r="F94" s="272"/>
      <c r="G94" s="272"/>
      <c r="H94" s="272"/>
      <c r="I94" s="30"/>
      <c r="J94" s="23"/>
      <c r="K94" s="761"/>
      <c r="L94" s="762"/>
      <c r="M94" s="762"/>
      <c r="N94" s="762"/>
      <c r="O94" s="762"/>
      <c r="P94" s="762"/>
      <c r="Q94" s="762"/>
      <c r="R94" s="762"/>
      <c r="S94" s="762"/>
      <c r="T94" s="762"/>
      <c r="U94" s="762"/>
      <c r="V94" s="762"/>
      <c r="W94" s="762"/>
      <c r="X94" s="763"/>
    </row>
    <row r="95" spans="2:24" ht="23.1" customHeight="1">
      <c r="B95" s="28"/>
      <c r="C95" s="903"/>
      <c r="D95" s="412"/>
      <c r="E95" s="90"/>
      <c r="F95" s="90"/>
      <c r="G95" s="90"/>
      <c r="H95" s="90"/>
      <c r="I95" s="30"/>
      <c r="K95" s="761"/>
      <c r="L95" s="762"/>
      <c r="M95" s="762"/>
      <c r="N95" s="762"/>
      <c r="O95" s="762"/>
      <c r="P95" s="762"/>
      <c r="Q95" s="762"/>
      <c r="R95" s="762"/>
      <c r="S95" s="762"/>
      <c r="T95" s="762"/>
      <c r="U95" s="762"/>
      <c r="V95" s="762"/>
      <c r="W95" s="762"/>
      <c r="X95" s="763"/>
    </row>
    <row r="96" spans="2:24" ht="23.1" customHeight="1" thickBot="1">
      <c r="B96" s="10"/>
      <c r="C96" s="232" t="s">
        <v>435</v>
      </c>
      <c r="D96" s="46" t="s">
        <v>436</v>
      </c>
      <c r="E96" s="236">
        <f>E93+E94</f>
        <v>5022513.0100000007</v>
      </c>
      <c r="F96" s="236">
        <f>F93+F94</f>
        <v>1532534.3499999989</v>
      </c>
      <c r="G96" s="236">
        <f>G93+G94</f>
        <v>1718047.4200000006</v>
      </c>
      <c r="H96" s="236">
        <f>H93+H94</f>
        <v>1610573.64</v>
      </c>
      <c r="I96" s="37"/>
      <c r="J96" s="45"/>
      <c r="K96" s="761"/>
      <c r="L96" s="762"/>
      <c r="M96" s="762"/>
      <c r="N96" s="762"/>
      <c r="O96" s="762"/>
      <c r="P96" s="762"/>
      <c r="Q96" s="762"/>
      <c r="R96" s="762"/>
      <c r="S96" s="762"/>
      <c r="T96" s="762"/>
      <c r="U96" s="762"/>
      <c r="V96" s="762"/>
      <c r="W96" s="762"/>
      <c r="X96" s="763"/>
    </row>
    <row r="97" spans="2:24" ht="23.1" customHeight="1">
      <c r="B97" s="28"/>
      <c r="C97" s="903"/>
      <c r="D97" s="412"/>
      <c r="E97" s="90"/>
      <c r="F97" s="90"/>
      <c r="G97" s="90"/>
      <c r="H97" s="90"/>
      <c r="I97" s="30"/>
      <c r="K97" s="761"/>
      <c r="L97" s="762"/>
      <c r="M97" s="762"/>
      <c r="N97" s="762"/>
      <c r="O97" s="762"/>
      <c r="P97" s="762"/>
      <c r="Q97" s="762"/>
      <c r="R97" s="762"/>
      <c r="S97" s="762"/>
      <c r="T97" s="762"/>
      <c r="U97" s="762"/>
      <c r="V97" s="762"/>
      <c r="W97" s="762"/>
      <c r="X97" s="763"/>
    </row>
    <row r="98" spans="2:24" ht="23.1" customHeight="1">
      <c r="B98" s="28"/>
      <c r="C98" s="221" t="s">
        <v>437</v>
      </c>
      <c r="D98" s="55" t="s">
        <v>438</v>
      </c>
      <c r="E98" s="90"/>
      <c r="F98" s="90"/>
      <c r="G98" s="90"/>
      <c r="H98" s="90"/>
      <c r="I98" s="30"/>
      <c r="K98" s="761"/>
      <c r="L98" s="762"/>
      <c r="M98" s="762"/>
      <c r="N98" s="762"/>
      <c r="O98" s="762"/>
      <c r="P98" s="762"/>
      <c r="Q98" s="762"/>
      <c r="R98" s="762"/>
      <c r="S98" s="762"/>
      <c r="T98" s="762"/>
      <c r="U98" s="762"/>
      <c r="V98" s="762"/>
      <c r="W98" s="762"/>
      <c r="X98" s="763"/>
    </row>
    <row r="99" spans="2:24" s="45" customFormat="1" ht="23.1" customHeight="1">
      <c r="B99" s="28"/>
      <c r="C99" s="225" t="s">
        <v>439</v>
      </c>
      <c r="D99" s="43" t="s">
        <v>440</v>
      </c>
      <c r="E99" s="272"/>
      <c r="F99" s="272"/>
      <c r="G99" s="272"/>
      <c r="H99" s="272"/>
      <c r="I99" s="30"/>
      <c r="J99" s="23"/>
      <c r="K99" s="761"/>
      <c r="L99" s="762"/>
      <c r="M99" s="762"/>
      <c r="N99" s="762"/>
      <c r="O99" s="762"/>
      <c r="P99" s="762"/>
      <c r="Q99" s="762"/>
      <c r="R99" s="762"/>
      <c r="S99" s="762"/>
      <c r="T99" s="762"/>
      <c r="U99" s="762"/>
      <c r="V99" s="762"/>
      <c r="W99" s="762"/>
      <c r="X99" s="763"/>
    </row>
    <row r="100" spans="2:24" ht="23.1" customHeight="1">
      <c r="B100" s="28"/>
      <c r="C100" s="903"/>
      <c r="D100" s="412"/>
      <c r="E100" s="90"/>
      <c r="F100" s="90"/>
      <c r="G100" s="90"/>
      <c r="H100" s="90"/>
      <c r="I100" s="30"/>
      <c r="K100" s="761"/>
      <c r="L100" s="762"/>
      <c r="M100" s="762"/>
      <c r="N100" s="762"/>
      <c r="O100" s="762"/>
      <c r="P100" s="762"/>
      <c r="Q100" s="762"/>
      <c r="R100" s="762"/>
      <c r="S100" s="762"/>
      <c r="T100" s="762"/>
      <c r="U100" s="762"/>
      <c r="V100" s="762"/>
      <c r="W100" s="762"/>
      <c r="X100" s="763"/>
    </row>
    <row r="101" spans="2:24" ht="23.1" customHeight="1" thickBot="1">
      <c r="B101" s="10"/>
      <c r="C101" s="233" t="s">
        <v>441</v>
      </c>
      <c r="D101" s="48" t="s">
        <v>442</v>
      </c>
      <c r="E101" s="94">
        <f>E96+E99</f>
        <v>5022513.0100000007</v>
      </c>
      <c r="F101" s="94">
        <f>F96+F99</f>
        <v>1532534.3499999989</v>
      </c>
      <c r="G101" s="94">
        <f>G96+G99</f>
        <v>1718047.4200000006</v>
      </c>
      <c r="H101" s="94">
        <f>H96+H99</f>
        <v>1610573.64</v>
      </c>
      <c r="I101" s="37"/>
      <c r="J101" s="45"/>
      <c r="K101" s="761"/>
      <c r="L101" s="762"/>
      <c r="M101" s="762"/>
      <c r="N101" s="762"/>
      <c r="O101" s="762"/>
      <c r="P101" s="762"/>
      <c r="Q101" s="762"/>
      <c r="R101" s="762"/>
      <c r="S101" s="762"/>
      <c r="T101" s="762"/>
      <c r="U101" s="762"/>
      <c r="V101" s="762"/>
      <c r="W101" s="762"/>
      <c r="X101" s="763"/>
    </row>
    <row r="102" spans="2:24" ht="23.1" customHeight="1">
      <c r="B102" s="28"/>
      <c r="I102" s="30"/>
      <c r="K102" s="761"/>
      <c r="L102" s="762"/>
      <c r="M102" s="762"/>
      <c r="N102" s="762"/>
      <c r="O102" s="762"/>
      <c r="P102" s="762"/>
      <c r="Q102" s="762"/>
      <c r="R102" s="762"/>
      <c r="S102" s="762"/>
      <c r="T102" s="762"/>
      <c r="U102" s="762"/>
      <c r="V102" s="762"/>
      <c r="W102" s="762"/>
      <c r="X102" s="763"/>
    </row>
    <row r="103" spans="2:24" ht="13.5" thickBot="1">
      <c r="B103" s="32"/>
      <c r="C103" s="1228"/>
      <c r="D103" s="1228"/>
      <c r="E103" s="1228"/>
      <c r="F103" s="1228"/>
      <c r="G103" s="1228"/>
      <c r="H103" s="34"/>
      <c r="I103" s="35"/>
      <c r="K103" s="764"/>
      <c r="L103" s="765"/>
      <c r="M103" s="765"/>
      <c r="N103" s="765"/>
      <c r="O103" s="765"/>
      <c r="P103" s="765"/>
      <c r="Q103" s="765"/>
      <c r="R103" s="765"/>
      <c r="S103" s="765"/>
      <c r="T103" s="765"/>
      <c r="U103" s="765"/>
      <c r="V103" s="765"/>
      <c r="W103" s="765"/>
      <c r="X103" s="766"/>
    </row>
    <row r="104" spans="2:24" ht="12.75">
      <c r="J104" s="23" t="s">
        <v>248</v>
      </c>
    </row>
    <row r="105" spans="2:24" ht="12.75">
      <c r="C105" s="19" t="s">
        <v>98</v>
      </c>
      <c r="H105" s="22" t="s">
        <v>443</v>
      </c>
    </row>
    <row r="106" spans="2:24" ht="12.75">
      <c r="C106" s="19" t="s">
        <v>100</v>
      </c>
    </row>
    <row r="107" spans="2:24" ht="12.75">
      <c r="C107" s="19" t="s">
        <v>101</v>
      </c>
    </row>
    <row r="108" spans="2:24" ht="23.1" customHeight="1">
      <c r="C108" s="19" t="s">
        <v>102</v>
      </c>
    </row>
    <row r="109" spans="2:24" ht="23.1" customHeight="1">
      <c r="C109" s="19" t="s">
        <v>103</v>
      </c>
    </row>
  </sheetData>
  <sheetProtection sheet="1" objects="1" scenarios="1"/>
  <mergeCells count="3">
    <mergeCell ref="C103:G103"/>
    <mergeCell ref="H6:H7"/>
    <mergeCell ref="D9:H9"/>
  </mergeCells>
  <phoneticPr fontId="5" type="noConversion"/>
  <printOptions horizontalCentered="1" verticalCentered="1"/>
  <pageMargins left="0.36000000000000004" right="0.36000000000000004" top="0.6100000000000001" bottom="0.6100000000000001" header="0.5" footer="0.5"/>
  <pageSetup paperSize="9" scale="32" orientation="portrait" horizontalDpi="4294967292" verticalDpi="4294967292" r:id="rId1"/>
  <ignoredErrors>
    <ignoredError sqref="E49:H53" unlockedFormula="1"/>
    <ignoredError sqref="E58" formulaRange="1"/>
  </ignoredErrors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90873A5-5A74-421D-94D9-2B328275B75D}">
  <sheetPr codeName="Hoja6">
    <pageSetUpPr fitToPage="1"/>
  </sheetPr>
  <dimension ref="A2:Z105"/>
  <sheetViews>
    <sheetView topLeftCell="A58" zoomScale="115" zoomScaleNormal="115" zoomScalePageLayoutView="125" workbookViewId="0">
      <selection activeCell="E70" sqref="E70"/>
    </sheetView>
  </sheetViews>
  <sheetFormatPr baseColWidth="10" defaultColWidth="10.6640625" defaultRowHeight="23.1" customHeight="1"/>
  <cols>
    <col min="1" max="1" width="4.109375" style="65" bestFit="1" customWidth="1"/>
    <col min="2" max="2" width="3.109375" style="65" customWidth="1"/>
    <col min="3" max="3" width="13.5546875" style="65" customWidth="1"/>
    <col min="4" max="4" width="55.6640625" style="65" customWidth="1"/>
    <col min="5" max="6" width="18.44140625" style="66" customWidth="1"/>
    <col min="7" max="7" width="22.33203125" style="66" customWidth="1"/>
    <col min="8" max="8" width="22" style="66" customWidth="1"/>
    <col min="9" max="9" width="15.6640625" style="66" customWidth="1"/>
    <col min="10" max="10" width="3.33203125" style="65" customWidth="1"/>
    <col min="11" max="16384" width="10.6640625" style="65"/>
  </cols>
  <sheetData>
    <row r="2" spans="1:26" ht="23.1" customHeight="1">
      <c r="D2" s="391" t="str">
        <f>_GENERAL!D2</f>
        <v>Área de la Presidenta: Igualdad y Diversidad, Hacienda y Proyectos Estratégicos</v>
      </c>
    </row>
    <row r="3" spans="1:26" ht="23.1" customHeight="1">
      <c r="D3" s="391" t="str">
        <f>_GENERAL!D3</f>
        <v>Dirección Insular de Hacienda</v>
      </c>
    </row>
    <row r="4" spans="1:26" ht="23.1" customHeight="1" thickBot="1">
      <c r="A4" s="65" t="s">
        <v>195</v>
      </c>
    </row>
    <row r="5" spans="1:26" ht="9" customHeight="1">
      <c r="B5" s="67"/>
      <c r="C5" s="68"/>
      <c r="D5" s="68"/>
      <c r="E5" s="69"/>
      <c r="F5" s="69"/>
      <c r="G5" s="69"/>
      <c r="H5" s="69"/>
      <c r="I5" s="69"/>
      <c r="J5" s="70"/>
      <c r="L5" s="746"/>
      <c r="M5" s="747"/>
      <c r="N5" s="747"/>
      <c r="O5" s="747"/>
      <c r="P5" s="747"/>
      <c r="Q5" s="747"/>
      <c r="R5" s="747"/>
      <c r="S5" s="747"/>
      <c r="T5" s="747"/>
      <c r="U5" s="747"/>
      <c r="V5" s="747"/>
      <c r="W5" s="747"/>
      <c r="X5" s="747"/>
      <c r="Y5" s="748"/>
    </row>
    <row r="6" spans="1:26" ht="30" customHeight="1">
      <c r="B6" s="71"/>
      <c r="C6" s="40" t="s">
        <v>2</v>
      </c>
      <c r="I6" s="1212">
        <f>ejercicio</f>
        <v>2025</v>
      </c>
      <c r="J6" s="72"/>
      <c r="L6" s="751"/>
      <c r="M6" s="752"/>
      <c r="N6" s="752"/>
      <c r="O6" s="752"/>
      <c r="P6" s="752"/>
      <c r="Q6" s="752"/>
      <c r="R6" s="752"/>
      <c r="S6" s="752"/>
      <c r="T6" s="752"/>
      <c r="U6" s="752"/>
      <c r="V6" s="752"/>
      <c r="W6" s="752"/>
      <c r="X6" s="752"/>
      <c r="Y6" s="753"/>
    </row>
    <row r="7" spans="1:26" ht="30" customHeight="1">
      <c r="B7" s="71"/>
      <c r="C7" s="40" t="s">
        <v>3</v>
      </c>
      <c r="I7" s="1212"/>
      <c r="J7" s="904"/>
      <c r="L7" s="754"/>
      <c r="M7" s="755" t="s">
        <v>196</v>
      </c>
      <c r="N7" s="756"/>
      <c r="O7" s="756"/>
      <c r="P7" s="756"/>
      <c r="Q7" s="756"/>
      <c r="R7" s="756"/>
      <c r="S7" s="756"/>
      <c r="T7" s="756"/>
      <c r="U7" s="756"/>
      <c r="V7" s="756"/>
      <c r="W7" s="756"/>
      <c r="X7" s="756"/>
      <c r="Y7" s="757"/>
    </row>
    <row r="8" spans="1:26" ht="30" customHeight="1">
      <c r="B8" s="71"/>
      <c r="C8" s="73"/>
      <c r="J8" s="904"/>
      <c r="L8" s="754"/>
      <c r="M8" s="756"/>
      <c r="N8" s="756"/>
      <c r="O8" s="756"/>
      <c r="P8" s="756"/>
      <c r="Q8" s="756"/>
      <c r="R8" s="756"/>
      <c r="S8" s="756"/>
      <c r="T8" s="756"/>
      <c r="U8" s="756"/>
      <c r="V8" s="756"/>
      <c r="W8" s="756"/>
      <c r="X8" s="756"/>
      <c r="Y8" s="757"/>
    </row>
    <row r="9" spans="1:26" s="128" customFormat="1" ht="30" customHeight="1">
      <c r="A9" s="877"/>
      <c r="B9" s="905"/>
      <c r="C9" s="21" t="s">
        <v>105</v>
      </c>
      <c r="D9" s="1229" t="str">
        <f>Entidad</f>
        <v>(MERCATENERIFE) Mercados Centrales de Abastecimiento de Tenerife, S.A.</v>
      </c>
      <c r="E9" s="1229"/>
      <c r="F9" s="1229"/>
      <c r="G9" s="1229"/>
      <c r="H9" s="1229"/>
      <c r="I9" s="1229"/>
      <c r="J9" s="904"/>
      <c r="K9" s="877"/>
      <c r="L9" s="751"/>
      <c r="M9" s="752"/>
      <c r="N9" s="752"/>
      <c r="O9" s="752"/>
      <c r="P9" s="752"/>
      <c r="Q9" s="752"/>
      <c r="R9" s="752"/>
      <c r="S9" s="752"/>
      <c r="T9" s="752"/>
      <c r="U9" s="752"/>
      <c r="V9" s="752"/>
      <c r="W9" s="752"/>
      <c r="X9" s="752"/>
      <c r="Y9" s="753"/>
      <c r="Z9" s="877"/>
    </row>
    <row r="10" spans="1:26" ht="6.95" customHeight="1">
      <c r="B10" s="71"/>
      <c r="J10" s="904"/>
      <c r="L10" s="751"/>
      <c r="M10" s="752"/>
      <c r="N10" s="752"/>
      <c r="O10" s="752"/>
      <c r="P10" s="752"/>
      <c r="Q10" s="752"/>
      <c r="R10" s="752"/>
      <c r="S10" s="752"/>
      <c r="T10" s="752"/>
      <c r="U10" s="752"/>
      <c r="V10" s="752"/>
      <c r="W10" s="752"/>
      <c r="X10" s="752"/>
      <c r="Y10" s="753"/>
    </row>
    <row r="11" spans="1:26" s="79" customFormat="1" ht="30" customHeight="1">
      <c r="B11" s="75"/>
      <c r="C11" s="76" t="s">
        <v>444</v>
      </c>
      <c r="D11" s="76"/>
      <c r="E11" s="77"/>
      <c r="F11" s="77"/>
      <c r="G11" s="77"/>
      <c r="H11" s="77"/>
      <c r="I11" s="77"/>
      <c r="J11" s="904"/>
      <c r="L11" s="751"/>
      <c r="M11" s="752"/>
      <c r="N11" s="752"/>
      <c r="O11" s="752"/>
      <c r="P11" s="752"/>
      <c r="Q11" s="752"/>
      <c r="R11" s="752"/>
      <c r="S11" s="752"/>
      <c r="T11" s="752"/>
      <c r="U11" s="752"/>
      <c r="V11" s="752"/>
      <c r="W11" s="752"/>
      <c r="X11" s="752"/>
      <c r="Y11" s="753"/>
    </row>
    <row r="12" spans="1:26" s="79" customFormat="1" ht="30" customHeight="1">
      <c r="B12" s="75"/>
      <c r="C12" s="1237"/>
      <c r="D12" s="1237"/>
      <c r="E12" s="64"/>
      <c r="F12" s="64"/>
      <c r="G12" s="64"/>
      <c r="H12" s="64"/>
      <c r="I12" s="64"/>
      <c r="J12" s="904"/>
      <c r="L12" s="751"/>
      <c r="M12" s="752"/>
      <c r="N12" s="752"/>
      <c r="O12" s="752"/>
      <c r="P12" s="752"/>
      <c r="Q12" s="752"/>
      <c r="R12" s="752"/>
      <c r="S12" s="752"/>
      <c r="T12" s="752"/>
      <c r="U12" s="752"/>
      <c r="V12" s="752"/>
      <c r="W12" s="752"/>
      <c r="X12" s="752"/>
      <c r="Y12" s="753"/>
    </row>
    <row r="13" spans="1:26" s="79" customFormat="1" ht="30" customHeight="1">
      <c r="B13" s="75"/>
      <c r="D13" s="8"/>
      <c r="E13" s="64"/>
      <c r="F13" s="64"/>
      <c r="G13" s="64"/>
      <c r="H13" s="64"/>
      <c r="I13" s="64"/>
      <c r="J13" s="904"/>
      <c r="L13" s="758"/>
      <c r="M13" s="759"/>
      <c r="N13" s="759"/>
      <c r="O13" s="759"/>
      <c r="P13" s="759"/>
      <c r="Q13" s="759"/>
      <c r="R13" s="759"/>
      <c r="S13" s="759"/>
      <c r="T13" s="759"/>
      <c r="U13" s="759"/>
      <c r="V13" s="759"/>
      <c r="W13" s="759"/>
      <c r="X13" s="759"/>
      <c r="Y13" s="760"/>
    </row>
    <row r="14" spans="1:26" s="301" customFormat="1" ht="23.1" customHeight="1">
      <c r="B14" s="80"/>
      <c r="C14" s="296"/>
      <c r="D14" s="297"/>
      <c r="E14" s="298"/>
      <c r="F14" s="299" t="s">
        <v>445</v>
      </c>
      <c r="G14" s="1136">
        <f>ejercicio</f>
        <v>2025</v>
      </c>
      <c r="H14" s="1136"/>
      <c r="I14" s="300"/>
      <c r="J14" s="904"/>
      <c r="K14" s="79"/>
      <c r="L14" s="758"/>
      <c r="M14" s="759"/>
      <c r="N14" s="759"/>
      <c r="O14" s="759"/>
      <c r="P14" s="759"/>
      <c r="Q14" s="759"/>
      <c r="R14" s="759"/>
      <c r="S14" s="759"/>
      <c r="T14" s="759"/>
      <c r="U14" s="759"/>
      <c r="V14" s="759"/>
      <c r="W14" s="759"/>
      <c r="X14" s="759"/>
      <c r="Y14" s="760"/>
      <c r="Z14" s="79"/>
    </row>
    <row r="15" spans="1:26" s="31" customFormat="1" ht="23.1" customHeight="1">
      <c r="B15" s="302"/>
      <c r="C15" s="303" t="s">
        <v>446</v>
      </c>
      <c r="D15" s="304"/>
      <c r="E15" s="1126" t="s">
        <v>447</v>
      </c>
      <c r="F15" s="1126" t="s">
        <v>448</v>
      </c>
      <c r="G15" s="1255" t="s">
        <v>265</v>
      </c>
      <c r="H15" s="1256"/>
      <c r="I15" s="1257"/>
      <c r="J15" s="904"/>
      <c r="K15" s="79"/>
      <c r="L15" s="758"/>
      <c r="M15" s="752"/>
      <c r="N15" s="752"/>
      <c r="O15" s="752"/>
      <c r="P15" s="752"/>
      <c r="Q15" s="752"/>
      <c r="R15" s="752"/>
      <c r="S15" s="759"/>
      <c r="T15" s="759"/>
      <c r="U15" s="759"/>
      <c r="V15" s="759"/>
      <c r="W15" s="759"/>
      <c r="X15" s="759"/>
      <c r="Y15" s="760"/>
      <c r="Z15" s="79"/>
    </row>
    <row r="16" spans="1:26" s="308" customFormat="1" ht="23.1" customHeight="1">
      <c r="B16" s="189"/>
      <c r="C16" s="306" t="s">
        <v>449</v>
      </c>
      <c r="D16" s="307"/>
      <c r="E16" s="131">
        <f>SUM(E17:E18)</f>
        <v>0</v>
      </c>
      <c r="F16" s="131">
        <f>SUM(F17:F18)</f>
        <v>0</v>
      </c>
      <c r="G16" s="1258"/>
      <c r="H16" s="1259"/>
      <c r="I16" s="1260"/>
      <c r="J16" s="904"/>
      <c r="K16" s="79"/>
      <c r="L16" s="758"/>
      <c r="M16" s="759"/>
      <c r="N16" s="759"/>
      <c r="O16" s="759"/>
      <c r="P16" s="759"/>
      <c r="Q16" s="759"/>
      <c r="R16" s="759"/>
      <c r="S16" s="759"/>
      <c r="T16" s="759"/>
      <c r="U16" s="759"/>
      <c r="V16" s="759"/>
      <c r="W16" s="759"/>
      <c r="X16" s="759"/>
      <c r="Y16" s="760"/>
      <c r="Z16" s="79"/>
    </row>
    <row r="17" spans="1:26" s="308" customFormat="1" ht="20.100000000000001" customHeight="1">
      <c r="B17" s="189"/>
      <c r="C17" s="358"/>
      <c r="D17" s="359" t="s">
        <v>450</v>
      </c>
      <c r="E17" s="409"/>
      <c r="F17" s="281"/>
      <c r="G17" s="1261"/>
      <c r="H17" s="1262"/>
      <c r="I17" s="1263"/>
      <c r="J17" s="904"/>
      <c r="K17" s="79"/>
      <c r="L17" s="758"/>
      <c r="M17" s="752"/>
      <c r="N17" s="752"/>
      <c r="O17" s="752"/>
      <c r="P17" s="752"/>
      <c r="Q17" s="752"/>
      <c r="R17" s="752"/>
      <c r="S17" s="759"/>
      <c r="T17" s="759"/>
      <c r="U17" s="759"/>
      <c r="V17" s="759"/>
      <c r="W17" s="759"/>
      <c r="X17" s="759"/>
      <c r="Y17" s="760"/>
      <c r="Z17" s="79"/>
    </row>
    <row r="18" spans="1:26" s="308" customFormat="1" ht="20.100000000000001" customHeight="1">
      <c r="B18" s="189"/>
      <c r="C18" s="360"/>
      <c r="D18" s="361" t="s">
        <v>451</v>
      </c>
      <c r="E18" s="283"/>
      <c r="F18" s="283">
        <v>0</v>
      </c>
      <c r="G18" s="1264"/>
      <c r="H18" s="1265"/>
      <c r="I18" s="1266"/>
      <c r="J18" s="904"/>
      <c r="K18" s="79"/>
      <c r="L18" s="758"/>
      <c r="M18" s="752"/>
      <c r="N18" s="752"/>
      <c r="O18" s="752"/>
      <c r="P18" s="752"/>
      <c r="Q18" s="752"/>
      <c r="R18" s="752"/>
      <c r="S18" s="759"/>
      <c r="T18" s="759"/>
      <c r="U18" s="759"/>
      <c r="V18" s="759"/>
      <c r="W18" s="759"/>
      <c r="X18" s="759"/>
      <c r="Y18" s="760"/>
      <c r="Z18" s="79"/>
    </row>
    <row r="19" spans="1:26" s="308" customFormat="1" ht="23.1" customHeight="1">
      <c r="B19" s="189"/>
      <c r="C19" s="306" t="s">
        <v>452</v>
      </c>
      <c r="D19" s="307"/>
      <c r="E19" s="131">
        <f>+E20+E25</f>
        <v>7083.89</v>
      </c>
      <c r="F19" s="131">
        <f>+F20+F25</f>
        <v>495.87230000000005</v>
      </c>
      <c r="G19" s="1258"/>
      <c r="H19" s="1259"/>
      <c r="I19" s="1260"/>
      <c r="J19" s="904"/>
      <c r="K19" s="79"/>
      <c r="L19" s="758"/>
      <c r="M19" s="752"/>
      <c r="N19" s="752"/>
      <c r="O19" s="752"/>
      <c r="P19" s="752"/>
      <c r="Q19" s="752"/>
      <c r="R19" s="752"/>
      <c r="S19" s="759"/>
      <c r="T19" s="759"/>
      <c r="U19" s="759"/>
      <c r="V19" s="759"/>
      <c r="W19" s="759"/>
      <c r="X19" s="759"/>
      <c r="Y19" s="760"/>
      <c r="Z19" s="79"/>
    </row>
    <row r="20" spans="1:26" s="308" customFormat="1" ht="20.100000000000001" customHeight="1">
      <c r="B20" s="189"/>
      <c r="C20" s="358"/>
      <c r="D20" s="359" t="s">
        <v>453</v>
      </c>
      <c r="E20" s="118">
        <f>SUM(E21:E24)</f>
        <v>0</v>
      </c>
      <c r="F20" s="118">
        <f>SUM(F21:F24)</f>
        <v>0</v>
      </c>
      <c r="G20" s="1252"/>
      <c r="H20" s="1253"/>
      <c r="I20" s="1254"/>
      <c r="J20" s="904"/>
      <c r="K20" s="79"/>
      <c r="L20" s="758"/>
      <c r="M20" s="752"/>
      <c r="N20" s="752"/>
      <c r="O20" s="752"/>
      <c r="P20" s="752"/>
      <c r="Q20" s="752"/>
      <c r="R20" s="752"/>
      <c r="S20" s="759"/>
      <c r="T20" s="759"/>
      <c r="U20" s="759"/>
      <c r="V20" s="759"/>
      <c r="W20" s="759"/>
      <c r="X20" s="759"/>
      <c r="Y20" s="760"/>
      <c r="Z20" s="79"/>
    </row>
    <row r="21" spans="1:26" s="149" customFormat="1" ht="20.100000000000001" customHeight="1">
      <c r="A21" s="597"/>
      <c r="B21" s="905"/>
      <c r="C21" s="586"/>
      <c r="D21" s="726"/>
      <c r="E21" s="907"/>
      <c r="F21" s="907"/>
      <c r="G21" s="1234"/>
      <c r="H21" s="1235"/>
      <c r="I21" s="1236"/>
      <c r="J21" s="904"/>
      <c r="K21" s="79"/>
      <c r="L21" s="758"/>
      <c r="M21" s="759"/>
      <c r="N21" s="759"/>
      <c r="O21" s="759"/>
      <c r="P21" s="759"/>
      <c r="Q21" s="759"/>
      <c r="R21" s="759"/>
      <c r="S21" s="759"/>
      <c r="T21" s="759"/>
      <c r="U21" s="759"/>
      <c r="V21" s="759"/>
      <c r="W21" s="759"/>
      <c r="X21" s="759"/>
      <c r="Y21" s="760"/>
      <c r="Z21" s="79"/>
    </row>
    <row r="22" spans="1:26" s="149" customFormat="1" ht="20.100000000000001" customHeight="1">
      <c r="A22" s="597"/>
      <c r="B22" s="905"/>
      <c r="C22" s="586"/>
      <c r="D22" s="726"/>
      <c r="E22" s="907"/>
      <c r="F22" s="907"/>
      <c r="G22" s="1234"/>
      <c r="H22" s="1235"/>
      <c r="I22" s="1236"/>
      <c r="J22" s="904"/>
      <c r="K22" s="79"/>
      <c r="L22" s="758"/>
      <c r="M22" s="752"/>
      <c r="N22" s="752"/>
      <c r="O22" s="752"/>
      <c r="P22" s="752"/>
      <c r="Q22" s="752"/>
      <c r="R22" s="752"/>
      <c r="S22" s="759"/>
      <c r="T22" s="759"/>
      <c r="U22" s="759"/>
      <c r="V22" s="759"/>
      <c r="W22" s="759"/>
      <c r="X22" s="759"/>
      <c r="Y22" s="760"/>
      <c r="Z22" s="79"/>
    </row>
    <row r="23" spans="1:26" s="149" customFormat="1" ht="20.100000000000001" customHeight="1">
      <c r="A23" s="597"/>
      <c r="B23" s="905"/>
      <c r="C23" s="586"/>
      <c r="D23" s="726"/>
      <c r="E23" s="907"/>
      <c r="F23" s="907"/>
      <c r="G23" s="1234"/>
      <c r="H23" s="1235"/>
      <c r="I23" s="1236"/>
      <c r="J23" s="904"/>
      <c r="K23" s="79"/>
      <c r="L23" s="758"/>
      <c r="M23" s="752"/>
      <c r="N23" s="752"/>
      <c r="O23" s="752"/>
      <c r="P23" s="752"/>
      <c r="Q23" s="752"/>
      <c r="R23" s="752"/>
      <c r="S23" s="759"/>
      <c r="T23" s="759"/>
      <c r="U23" s="759"/>
      <c r="V23" s="759"/>
      <c r="W23" s="759"/>
      <c r="X23" s="759"/>
      <c r="Y23" s="760"/>
      <c r="Z23" s="79"/>
    </row>
    <row r="24" spans="1:26" s="149" customFormat="1" ht="20.100000000000001" customHeight="1">
      <c r="A24" s="597"/>
      <c r="B24" s="905"/>
      <c r="C24" s="586"/>
      <c r="D24" s="726"/>
      <c r="E24" s="907"/>
      <c r="F24" s="907"/>
      <c r="G24" s="1234"/>
      <c r="H24" s="1235"/>
      <c r="I24" s="1236"/>
      <c r="J24" s="904"/>
      <c r="K24" s="79"/>
      <c r="L24" s="758"/>
      <c r="M24" s="752"/>
      <c r="N24" s="752"/>
      <c r="O24" s="752"/>
      <c r="P24" s="752"/>
      <c r="Q24" s="752"/>
      <c r="R24" s="752"/>
      <c r="S24" s="759"/>
      <c r="T24" s="759"/>
      <c r="U24" s="759"/>
      <c r="V24" s="759"/>
      <c r="W24" s="759"/>
      <c r="X24" s="759"/>
      <c r="Y24" s="760"/>
      <c r="Z24" s="79"/>
    </row>
    <row r="25" spans="1:26" s="308" customFormat="1" ht="20.100000000000001" customHeight="1">
      <c r="B25" s="189"/>
      <c r="C25" s="362"/>
      <c r="D25" s="363" t="s">
        <v>454</v>
      </c>
      <c r="E25" s="120">
        <f>SUM(E26:E29)</f>
        <v>7083.89</v>
      </c>
      <c r="F25" s="120">
        <f>SUM(F26:F29)</f>
        <v>495.87230000000005</v>
      </c>
      <c r="G25" s="1234"/>
      <c r="H25" s="1235"/>
      <c r="I25" s="1236"/>
      <c r="J25" s="904"/>
      <c r="K25" s="79"/>
      <c r="L25" s="758"/>
      <c r="M25" s="752"/>
      <c r="N25" s="752"/>
      <c r="O25" s="752"/>
      <c r="P25" s="752"/>
      <c r="Q25" s="752"/>
      <c r="R25" s="752"/>
      <c r="S25" s="759"/>
      <c r="T25" s="759"/>
      <c r="U25" s="759"/>
      <c r="V25" s="759"/>
      <c r="W25" s="759"/>
      <c r="X25" s="759"/>
      <c r="Y25" s="760"/>
      <c r="Z25" s="79"/>
    </row>
    <row r="26" spans="1:26" s="149" customFormat="1" ht="20.100000000000001" customHeight="1">
      <c r="A26" s="597"/>
      <c r="B26" s="905"/>
      <c r="C26" s="586" t="s">
        <v>455</v>
      </c>
      <c r="D26" s="726"/>
      <c r="E26" s="907">
        <v>7083.89</v>
      </c>
      <c r="F26" s="907">
        <f>(E26*7%)</f>
        <v>495.87230000000005</v>
      </c>
      <c r="G26" s="1234"/>
      <c r="H26" s="1235"/>
      <c r="I26" s="1236"/>
      <c r="J26" s="904"/>
      <c r="K26" s="79"/>
      <c r="L26" s="758"/>
      <c r="M26" s="759"/>
      <c r="N26" s="759"/>
      <c r="O26" s="759"/>
      <c r="P26" s="759"/>
      <c r="Q26" s="759"/>
      <c r="R26" s="759"/>
      <c r="S26" s="759"/>
      <c r="T26" s="759"/>
      <c r="U26" s="759"/>
      <c r="V26" s="759"/>
      <c r="W26" s="759"/>
      <c r="X26" s="759"/>
      <c r="Y26" s="760"/>
      <c r="Z26" s="79"/>
    </row>
    <row r="27" spans="1:26" s="149" customFormat="1" ht="20.100000000000001" customHeight="1">
      <c r="A27" s="597"/>
      <c r="B27" s="905"/>
      <c r="C27" s="586"/>
      <c r="D27" s="726"/>
      <c r="E27" s="907"/>
      <c r="F27" s="907"/>
      <c r="G27" s="1234"/>
      <c r="H27" s="1235"/>
      <c r="I27" s="1236"/>
      <c r="J27" s="904"/>
      <c r="K27" s="79"/>
      <c r="L27" s="758"/>
      <c r="M27" s="767"/>
      <c r="N27" s="767"/>
      <c r="O27" s="767"/>
      <c r="P27" s="767"/>
      <c r="Q27" s="767"/>
      <c r="R27" s="767"/>
      <c r="S27" s="759"/>
      <c r="T27" s="759"/>
      <c r="U27" s="759"/>
      <c r="V27" s="759"/>
      <c r="W27" s="759"/>
      <c r="X27" s="759"/>
      <c r="Y27" s="760"/>
      <c r="Z27" s="79"/>
    </row>
    <row r="28" spans="1:26" s="149" customFormat="1" ht="20.100000000000001" customHeight="1">
      <c r="A28" s="597"/>
      <c r="B28" s="905"/>
      <c r="C28" s="586"/>
      <c r="D28" s="726"/>
      <c r="E28" s="907"/>
      <c r="F28" s="907"/>
      <c r="G28" s="1234"/>
      <c r="H28" s="1235"/>
      <c r="I28" s="1236"/>
      <c r="J28" s="904"/>
      <c r="K28" s="79"/>
      <c r="L28" s="758"/>
      <c r="M28" s="759"/>
      <c r="N28" s="759"/>
      <c r="O28" s="759"/>
      <c r="P28" s="759"/>
      <c r="Q28" s="759"/>
      <c r="R28" s="759"/>
      <c r="S28" s="759"/>
      <c r="T28" s="759"/>
      <c r="U28" s="759"/>
      <c r="V28" s="759"/>
      <c r="W28" s="759"/>
      <c r="X28" s="759"/>
      <c r="Y28" s="760"/>
      <c r="Z28" s="79"/>
    </row>
    <row r="29" spans="1:26" s="149" customFormat="1" ht="20.100000000000001" customHeight="1">
      <c r="A29" s="597"/>
      <c r="B29" s="905"/>
      <c r="C29" s="909"/>
      <c r="D29" s="910"/>
      <c r="E29" s="911"/>
      <c r="F29" s="911"/>
      <c r="G29" s="1267"/>
      <c r="H29" s="1268"/>
      <c r="I29" s="1269"/>
      <c r="J29" s="904"/>
      <c r="K29" s="79"/>
      <c r="L29" s="758"/>
      <c r="M29" s="752"/>
      <c r="N29" s="752"/>
      <c r="O29" s="752"/>
      <c r="P29" s="752"/>
      <c r="Q29" s="752"/>
      <c r="R29" s="752"/>
      <c r="S29" s="759"/>
      <c r="T29" s="759"/>
      <c r="U29" s="759"/>
      <c r="V29" s="759"/>
      <c r="W29" s="759"/>
      <c r="X29" s="759"/>
      <c r="Y29" s="760"/>
      <c r="Z29" s="79"/>
    </row>
    <row r="30" spans="1:26" s="308" customFormat="1" ht="23.1" customHeight="1">
      <c r="B30" s="189"/>
      <c r="C30" s="306" t="s">
        <v>456</v>
      </c>
      <c r="D30" s="307"/>
      <c r="E30" s="131">
        <f>+E31+E40</f>
        <v>4625469.4700000007</v>
      </c>
      <c r="F30" s="131">
        <f>+F31+F40</f>
        <v>323782.86290000007</v>
      </c>
      <c r="G30" s="1258"/>
      <c r="H30" s="1259"/>
      <c r="I30" s="1260"/>
      <c r="J30" s="904"/>
      <c r="K30" s="79"/>
      <c r="L30" s="758"/>
      <c r="M30" s="752"/>
      <c r="N30" s="752"/>
      <c r="O30" s="752"/>
      <c r="P30" s="752"/>
      <c r="Q30" s="752"/>
      <c r="R30" s="752"/>
      <c r="S30" s="759"/>
      <c r="T30" s="759"/>
      <c r="U30" s="759"/>
      <c r="V30" s="759"/>
      <c r="W30" s="759"/>
      <c r="X30" s="759"/>
      <c r="Y30" s="760"/>
      <c r="Z30" s="79"/>
    </row>
    <row r="31" spans="1:26" s="313" customFormat="1" ht="18.95" customHeight="1">
      <c r="B31" s="309"/>
      <c r="C31" s="310" t="s">
        <v>457</v>
      </c>
      <c r="D31" s="311"/>
      <c r="E31" s="312">
        <f>E32+E36</f>
        <v>281237.53000000003</v>
      </c>
      <c r="F31" s="312">
        <f>F32+F36</f>
        <v>19686.627100000002</v>
      </c>
      <c r="G31" s="1270"/>
      <c r="H31" s="1271"/>
      <c r="I31" s="1272"/>
      <c r="J31" s="904"/>
      <c r="K31" s="79"/>
      <c r="L31" s="758"/>
      <c r="M31" s="752"/>
      <c r="N31" s="752"/>
      <c r="O31" s="752"/>
      <c r="P31" s="752"/>
      <c r="Q31" s="752"/>
      <c r="R31" s="752"/>
      <c r="S31" s="759"/>
      <c r="T31" s="759"/>
      <c r="U31" s="759"/>
      <c r="V31" s="759"/>
      <c r="W31" s="759"/>
      <c r="X31" s="759"/>
      <c r="Y31" s="760"/>
      <c r="Z31" s="79"/>
    </row>
    <row r="32" spans="1:26" s="308" customFormat="1" ht="18.95" customHeight="1">
      <c r="B32" s="189"/>
      <c r="C32" s="358"/>
      <c r="D32" s="359" t="s">
        <v>458</v>
      </c>
      <c r="E32" s="118">
        <f>SUM(E33:E35)</f>
        <v>0</v>
      </c>
      <c r="F32" s="118">
        <f>SUM(F33:F35)</f>
        <v>0</v>
      </c>
      <c r="G32" s="1252"/>
      <c r="H32" s="1253"/>
      <c r="I32" s="1254"/>
      <c r="J32" s="904"/>
      <c r="K32" s="79"/>
      <c r="L32" s="758"/>
      <c r="M32" s="768"/>
      <c r="N32" s="768"/>
      <c r="O32" s="768"/>
      <c r="P32" s="768"/>
      <c r="Q32" s="768"/>
      <c r="R32" s="768"/>
      <c r="S32" s="759"/>
      <c r="T32" s="759"/>
      <c r="U32" s="759"/>
      <c r="V32" s="759"/>
      <c r="W32" s="759"/>
      <c r="X32" s="759"/>
      <c r="Y32" s="760"/>
      <c r="Z32" s="79"/>
    </row>
    <row r="33" spans="1:26" s="149" customFormat="1" ht="18.95" customHeight="1">
      <c r="A33" s="597"/>
      <c r="B33" s="905"/>
      <c r="C33" s="586"/>
      <c r="D33" s="726"/>
      <c r="E33" s="907"/>
      <c r="F33" s="907"/>
      <c r="G33" s="1234"/>
      <c r="H33" s="1235"/>
      <c r="I33" s="1236"/>
      <c r="J33" s="904"/>
      <c r="K33" s="79"/>
      <c r="L33" s="758"/>
      <c r="M33" s="762"/>
      <c r="N33" s="762"/>
      <c r="O33" s="762"/>
      <c r="P33" s="762"/>
      <c r="Q33" s="762"/>
      <c r="R33" s="762"/>
      <c r="S33" s="759"/>
      <c r="T33" s="759"/>
      <c r="U33" s="759"/>
      <c r="V33" s="759"/>
      <c r="W33" s="759"/>
      <c r="X33" s="759"/>
      <c r="Y33" s="760"/>
      <c r="Z33" s="79"/>
    </row>
    <row r="34" spans="1:26" s="149" customFormat="1" ht="18.95" customHeight="1">
      <c r="A34" s="597"/>
      <c r="B34" s="905"/>
      <c r="C34" s="586"/>
      <c r="D34" s="726"/>
      <c r="E34" s="907"/>
      <c r="F34" s="907"/>
      <c r="G34" s="1234"/>
      <c r="H34" s="1235"/>
      <c r="I34" s="1236"/>
      <c r="J34" s="904"/>
      <c r="K34" s="79"/>
      <c r="L34" s="758"/>
      <c r="M34" s="762"/>
      <c r="N34" s="762"/>
      <c r="O34" s="762"/>
      <c r="P34" s="762"/>
      <c r="Q34" s="762"/>
      <c r="R34" s="762"/>
      <c r="S34" s="759"/>
      <c r="T34" s="759"/>
      <c r="U34" s="759"/>
      <c r="V34" s="759"/>
      <c r="W34" s="759"/>
      <c r="X34" s="759"/>
      <c r="Y34" s="760"/>
      <c r="Z34" s="79"/>
    </row>
    <row r="35" spans="1:26" s="149" customFormat="1" ht="18.95" customHeight="1">
      <c r="A35" s="597"/>
      <c r="B35" s="905"/>
      <c r="C35" s="586"/>
      <c r="D35" s="726"/>
      <c r="E35" s="907"/>
      <c r="F35" s="907"/>
      <c r="G35" s="1234"/>
      <c r="H35" s="1235"/>
      <c r="I35" s="1236"/>
      <c r="J35" s="904"/>
      <c r="K35" s="79"/>
      <c r="L35" s="758"/>
      <c r="M35" s="762"/>
      <c r="N35" s="762"/>
      <c r="O35" s="762"/>
      <c r="P35" s="762"/>
      <c r="Q35" s="762"/>
      <c r="R35" s="762"/>
      <c r="S35" s="759"/>
      <c r="T35" s="759"/>
      <c r="U35" s="759"/>
      <c r="V35" s="759"/>
      <c r="W35" s="759"/>
      <c r="X35" s="759"/>
      <c r="Y35" s="760"/>
      <c r="Z35" s="79"/>
    </row>
    <row r="36" spans="1:26" s="308" customFormat="1" ht="18.95" customHeight="1">
      <c r="B36" s="189"/>
      <c r="C36" s="362"/>
      <c r="D36" s="363" t="s">
        <v>459</v>
      </c>
      <c r="E36" s="120">
        <f>SUM(E37:E39)</f>
        <v>281237.53000000003</v>
      </c>
      <c r="F36" s="120">
        <f>SUM(F37:F39)</f>
        <v>19686.627100000002</v>
      </c>
      <c r="G36" s="1273"/>
      <c r="H36" s="1274"/>
      <c r="I36" s="1275"/>
      <c r="J36" s="904"/>
      <c r="K36" s="79"/>
      <c r="L36" s="758"/>
      <c r="M36" s="769"/>
      <c r="N36" s="769"/>
      <c r="O36" s="769"/>
      <c r="P36" s="769"/>
      <c r="Q36" s="769"/>
      <c r="R36" s="769"/>
      <c r="S36" s="759"/>
      <c r="T36" s="759"/>
      <c r="U36" s="759"/>
      <c r="V36" s="759"/>
      <c r="W36" s="759"/>
      <c r="X36" s="759"/>
      <c r="Y36" s="760"/>
      <c r="Z36" s="79"/>
    </row>
    <row r="37" spans="1:26" s="149" customFormat="1" ht="18.95" customHeight="1">
      <c r="A37" s="597"/>
      <c r="B37" s="905"/>
      <c r="C37" s="586" t="s">
        <v>460</v>
      </c>
      <c r="D37" s="726"/>
      <c r="E37" s="907">
        <v>269393.64</v>
      </c>
      <c r="F37" s="907">
        <f>(E37*7%)</f>
        <v>18857.554800000002</v>
      </c>
      <c r="G37" s="1234"/>
      <c r="H37" s="1235"/>
      <c r="I37" s="1236"/>
      <c r="J37" s="904"/>
      <c r="K37" s="79"/>
      <c r="L37" s="758"/>
      <c r="M37" s="768"/>
      <c r="N37" s="768"/>
      <c r="O37" s="768"/>
      <c r="P37" s="768"/>
      <c r="Q37" s="768"/>
      <c r="R37" s="768"/>
      <c r="S37" s="759"/>
      <c r="T37" s="759"/>
      <c r="U37" s="759"/>
      <c r="V37" s="759"/>
      <c r="W37" s="759"/>
      <c r="X37" s="759"/>
      <c r="Y37" s="760"/>
      <c r="Z37" s="79"/>
    </row>
    <row r="38" spans="1:26" s="149" customFormat="1" ht="18.95" customHeight="1">
      <c r="A38" s="597"/>
      <c r="B38" s="905"/>
      <c r="C38" s="586" t="s">
        <v>461</v>
      </c>
      <c r="D38" s="726"/>
      <c r="E38" s="907">
        <v>11843.89</v>
      </c>
      <c r="F38" s="907">
        <f>(E38*7%)</f>
        <v>829.07230000000004</v>
      </c>
      <c r="G38" s="1234"/>
      <c r="H38" s="1235"/>
      <c r="I38" s="1236"/>
      <c r="J38" s="904"/>
      <c r="K38" s="79"/>
      <c r="L38" s="758"/>
      <c r="M38" s="768"/>
      <c r="N38" s="768"/>
      <c r="O38" s="768"/>
      <c r="P38" s="768"/>
      <c r="Q38" s="768"/>
      <c r="R38" s="768"/>
      <c r="S38" s="759"/>
      <c r="T38" s="759"/>
      <c r="U38" s="759"/>
      <c r="V38" s="759"/>
      <c r="W38" s="759"/>
      <c r="X38" s="759"/>
      <c r="Y38" s="760"/>
      <c r="Z38" s="79"/>
    </row>
    <row r="39" spans="1:26" s="149" customFormat="1" ht="18.95" customHeight="1">
      <c r="A39" s="597"/>
      <c r="B39" s="905"/>
      <c r="C39" s="909"/>
      <c r="D39" s="910"/>
      <c r="E39" s="911"/>
      <c r="F39" s="911"/>
      <c r="G39" s="1267"/>
      <c r="H39" s="1268"/>
      <c r="I39" s="1269"/>
      <c r="J39" s="904"/>
      <c r="K39" s="79"/>
      <c r="L39" s="758"/>
      <c r="M39" s="762"/>
      <c r="N39" s="762"/>
      <c r="O39" s="762"/>
      <c r="P39" s="762"/>
      <c r="Q39" s="762"/>
      <c r="R39" s="762"/>
      <c r="S39" s="759"/>
      <c r="T39" s="759"/>
      <c r="U39" s="759"/>
      <c r="V39" s="759"/>
      <c r="W39" s="759"/>
      <c r="X39" s="759"/>
      <c r="Y39" s="760"/>
      <c r="Z39" s="79"/>
    </row>
    <row r="40" spans="1:26" s="313" customFormat="1" ht="18.95" customHeight="1">
      <c r="B40" s="309"/>
      <c r="C40" s="310" t="s">
        <v>462</v>
      </c>
      <c r="D40" s="311"/>
      <c r="E40" s="312">
        <f>+E41+E42</f>
        <v>4344231.9400000004</v>
      </c>
      <c r="F40" s="312">
        <f>+F41+F42</f>
        <v>304096.23580000008</v>
      </c>
      <c r="G40" s="1270"/>
      <c r="H40" s="1271"/>
      <c r="I40" s="1272"/>
      <c r="J40" s="904"/>
      <c r="K40" s="79"/>
      <c r="L40" s="758"/>
      <c r="M40" s="762"/>
      <c r="N40" s="762"/>
      <c r="O40" s="762"/>
      <c r="P40" s="762"/>
      <c r="Q40" s="762"/>
      <c r="R40" s="762"/>
      <c r="S40" s="759"/>
      <c r="T40" s="759"/>
      <c r="U40" s="759"/>
      <c r="V40" s="759"/>
      <c r="W40" s="759"/>
      <c r="X40" s="759"/>
      <c r="Y40" s="760"/>
      <c r="Z40" s="79"/>
    </row>
    <row r="41" spans="1:26" s="308" customFormat="1" ht="18.95" customHeight="1">
      <c r="B41" s="189"/>
      <c r="C41" s="358"/>
      <c r="D41" s="359" t="s">
        <v>463</v>
      </c>
      <c r="E41" s="281"/>
      <c r="F41" s="281"/>
      <c r="G41" s="1276"/>
      <c r="H41" s="1277"/>
      <c r="I41" s="1278"/>
      <c r="J41" s="904"/>
      <c r="K41" s="79"/>
      <c r="L41" s="758"/>
      <c r="M41" s="762"/>
      <c r="N41" s="762"/>
      <c r="O41" s="762"/>
      <c r="P41" s="762"/>
      <c r="Q41" s="762"/>
      <c r="R41" s="762"/>
      <c r="S41" s="759"/>
      <c r="T41" s="759"/>
      <c r="U41" s="759"/>
      <c r="V41" s="759"/>
      <c r="W41" s="759"/>
      <c r="X41" s="759"/>
      <c r="Y41" s="760"/>
      <c r="Z41" s="79"/>
    </row>
    <row r="42" spans="1:26" s="308" customFormat="1" ht="18.95" customHeight="1">
      <c r="B42" s="189"/>
      <c r="C42" s="364"/>
      <c r="D42" s="365" t="s">
        <v>464</v>
      </c>
      <c r="E42" s="366">
        <v>4344231.9400000004</v>
      </c>
      <c r="F42" s="366">
        <f>(E42*7%)</f>
        <v>304096.23580000008</v>
      </c>
      <c r="G42" s="1276"/>
      <c r="H42" s="1277"/>
      <c r="I42" s="1278"/>
      <c r="J42" s="904"/>
      <c r="K42" s="79"/>
      <c r="L42" s="758"/>
      <c r="M42" s="762"/>
      <c r="N42" s="762"/>
      <c r="O42" s="762"/>
      <c r="P42" s="762"/>
      <c r="Q42" s="762"/>
      <c r="R42" s="762"/>
      <c r="S42" s="759"/>
      <c r="T42" s="759"/>
      <c r="U42" s="759"/>
      <c r="V42" s="759"/>
      <c r="W42" s="759"/>
      <c r="X42" s="759"/>
      <c r="Y42" s="760"/>
      <c r="Z42" s="79"/>
    </row>
    <row r="43" spans="1:26" s="308" customFormat="1" ht="23.1" customHeight="1" thickBot="1">
      <c r="B43" s="189"/>
      <c r="C43" s="314" t="s">
        <v>465</v>
      </c>
      <c r="D43" s="315"/>
      <c r="E43" s="119">
        <f>E16+E19+E30</f>
        <v>4632553.3600000003</v>
      </c>
      <c r="F43" s="119">
        <f>F16+F19+F30</f>
        <v>324278.73520000005</v>
      </c>
      <c r="G43" s="1279"/>
      <c r="H43" s="1280"/>
      <c r="I43" s="1281"/>
      <c r="J43" s="904"/>
      <c r="K43" s="79"/>
      <c r="L43" s="758"/>
      <c r="M43" s="762"/>
      <c r="N43" s="762"/>
      <c r="O43" s="762"/>
      <c r="P43" s="762"/>
      <c r="Q43" s="762"/>
      <c r="R43" s="762"/>
      <c r="S43" s="759"/>
      <c r="T43" s="759"/>
      <c r="U43" s="759"/>
      <c r="V43" s="759"/>
      <c r="W43" s="759"/>
      <c r="X43" s="759"/>
      <c r="Y43" s="760"/>
      <c r="Z43" s="79"/>
    </row>
    <row r="44" spans="1:26" s="149" customFormat="1" ht="23.1" customHeight="1">
      <c r="A44" s="597"/>
      <c r="B44" s="905"/>
      <c r="C44" s="391"/>
      <c r="D44" s="391"/>
      <c r="E44" s="431"/>
      <c r="F44" s="431"/>
      <c r="G44" s="431"/>
      <c r="H44" s="431"/>
      <c r="I44" s="431"/>
      <c r="J44" s="904"/>
      <c r="K44" s="301"/>
      <c r="L44" s="761"/>
      <c r="M44" s="762"/>
      <c r="N44" s="762"/>
      <c r="O44" s="762"/>
      <c r="P44" s="762"/>
      <c r="Q44" s="762"/>
      <c r="R44" s="762"/>
      <c r="S44" s="759"/>
      <c r="T44" s="759"/>
      <c r="U44" s="759"/>
      <c r="V44" s="759"/>
      <c r="W44" s="759"/>
      <c r="X44" s="759"/>
      <c r="Y44" s="760"/>
      <c r="Z44" s="79"/>
    </row>
    <row r="45" spans="1:26" s="301" customFormat="1" ht="23.1" customHeight="1">
      <c r="B45" s="80"/>
      <c r="C45" s="296"/>
      <c r="D45" s="297"/>
      <c r="E45" s="1125" t="s">
        <v>445</v>
      </c>
      <c r="F45" s="1246" t="s">
        <v>265</v>
      </c>
      <c r="G45" s="1247"/>
      <c r="H45" s="1247"/>
      <c r="I45" s="1248"/>
      <c r="J45" s="904"/>
      <c r="L45" s="761"/>
      <c r="M45" s="762"/>
      <c r="N45" s="762"/>
      <c r="O45" s="762"/>
      <c r="P45" s="762"/>
      <c r="Q45" s="762"/>
      <c r="R45" s="762"/>
      <c r="S45" s="759"/>
      <c r="T45" s="759"/>
      <c r="U45" s="759"/>
      <c r="V45" s="759"/>
      <c r="W45" s="759"/>
      <c r="X45" s="759"/>
      <c r="Y45" s="760"/>
      <c r="Z45" s="79"/>
    </row>
    <row r="46" spans="1:26" s="31" customFormat="1" ht="23.1" customHeight="1">
      <c r="B46" s="302"/>
      <c r="C46" s="303" t="s">
        <v>466</v>
      </c>
      <c r="D46" s="304"/>
      <c r="E46" s="316">
        <f>ejercicio</f>
        <v>2025</v>
      </c>
      <c r="F46" s="1249"/>
      <c r="G46" s="1250"/>
      <c r="H46" s="1250"/>
      <c r="I46" s="1251"/>
      <c r="J46" s="904"/>
      <c r="L46" s="761"/>
      <c r="M46" s="762"/>
      <c r="N46" s="762"/>
      <c r="O46" s="762"/>
      <c r="P46" s="762"/>
      <c r="Q46" s="762"/>
      <c r="R46" s="762"/>
      <c r="S46" s="759"/>
      <c r="T46" s="759"/>
      <c r="U46" s="759"/>
      <c r="V46" s="759"/>
      <c r="W46" s="759"/>
      <c r="X46" s="759"/>
      <c r="Y46" s="760"/>
      <c r="Z46" s="79"/>
    </row>
    <row r="47" spans="1:26" s="149" customFormat="1" ht="23.1" customHeight="1" thickBot="1">
      <c r="A47" s="597"/>
      <c r="B47" s="905"/>
      <c r="C47" s="314" t="s">
        <v>467</v>
      </c>
      <c r="D47" s="315"/>
      <c r="E47" s="119">
        <f>E48+E52</f>
        <v>0</v>
      </c>
      <c r="F47" s="1282"/>
      <c r="G47" s="1283"/>
      <c r="H47" s="1283"/>
      <c r="I47" s="1284"/>
      <c r="J47" s="904"/>
      <c r="K47" s="597"/>
      <c r="L47" s="761"/>
      <c r="M47" s="762"/>
      <c r="N47" s="762"/>
      <c r="O47" s="762"/>
      <c r="P47" s="762"/>
      <c r="Q47" s="762"/>
      <c r="R47" s="762"/>
      <c r="S47" s="759"/>
      <c r="T47" s="759"/>
      <c r="U47" s="759"/>
      <c r="V47" s="759"/>
      <c r="W47" s="759"/>
      <c r="X47" s="759"/>
      <c r="Y47" s="760"/>
      <c r="Z47" s="79"/>
    </row>
    <row r="48" spans="1:26" s="149" customFormat="1" ht="20.100000000000001" customHeight="1">
      <c r="A48" s="597"/>
      <c r="B48" s="905"/>
      <c r="C48" s="604" t="s">
        <v>468</v>
      </c>
      <c r="D48" s="914"/>
      <c r="E48" s="605">
        <f>SUM(E49:E51)</f>
        <v>0</v>
      </c>
      <c r="F48" s="1285"/>
      <c r="G48" s="1286"/>
      <c r="H48" s="1286"/>
      <c r="I48" s="1287"/>
      <c r="J48" s="904"/>
      <c r="K48" s="597"/>
      <c r="L48" s="761"/>
      <c r="M48" s="762"/>
      <c r="N48" s="762"/>
      <c r="O48" s="762"/>
      <c r="P48" s="762"/>
      <c r="Q48" s="762"/>
      <c r="R48" s="762"/>
      <c r="S48" s="759"/>
      <c r="T48" s="759"/>
      <c r="U48" s="759"/>
      <c r="V48" s="759"/>
      <c r="W48" s="759"/>
      <c r="X48" s="759"/>
      <c r="Y48" s="760"/>
      <c r="Z48" s="79"/>
    </row>
    <row r="49" spans="1:25" s="149" customFormat="1" ht="20.100000000000001" customHeight="1">
      <c r="A49" s="597"/>
      <c r="B49" s="905"/>
      <c r="C49" s="586"/>
      <c r="D49" s="726"/>
      <c r="E49" s="915"/>
      <c r="F49" s="1288"/>
      <c r="G49" s="1289"/>
      <c r="H49" s="1289"/>
      <c r="I49" s="1290"/>
      <c r="J49" s="904"/>
      <c r="K49" s="597"/>
      <c r="L49" s="761"/>
      <c r="M49" s="762"/>
      <c r="N49" s="762"/>
      <c r="O49" s="762"/>
      <c r="P49" s="762"/>
      <c r="Q49" s="762"/>
      <c r="R49" s="762"/>
      <c r="S49" s="762"/>
      <c r="T49" s="762"/>
      <c r="U49" s="762"/>
      <c r="V49" s="762"/>
      <c r="W49" s="762"/>
      <c r="X49" s="762"/>
      <c r="Y49" s="763"/>
    </row>
    <row r="50" spans="1:25" s="149" customFormat="1" ht="20.100000000000001" customHeight="1">
      <c r="A50" s="597"/>
      <c r="B50" s="905"/>
      <c r="C50" s="586"/>
      <c r="D50" s="726"/>
      <c r="E50" s="915"/>
      <c r="F50" s="1288"/>
      <c r="G50" s="1289"/>
      <c r="H50" s="1289"/>
      <c r="I50" s="1290"/>
      <c r="J50" s="904"/>
      <c r="K50" s="597"/>
      <c r="L50" s="761"/>
      <c r="M50" s="762"/>
      <c r="N50" s="762"/>
      <c r="O50" s="762"/>
      <c r="P50" s="762"/>
      <c r="Q50" s="762"/>
      <c r="R50" s="762"/>
      <c r="S50" s="762"/>
      <c r="T50" s="762"/>
      <c r="U50" s="762"/>
      <c r="V50" s="762"/>
      <c r="W50" s="762"/>
      <c r="X50" s="762"/>
      <c r="Y50" s="763"/>
    </row>
    <row r="51" spans="1:25" s="149" customFormat="1" ht="20.100000000000001" customHeight="1">
      <c r="A51" s="597"/>
      <c r="B51" s="905"/>
      <c r="C51" s="586"/>
      <c r="D51" s="726"/>
      <c r="E51" s="915"/>
      <c r="F51" s="1288"/>
      <c r="G51" s="1289"/>
      <c r="H51" s="1289"/>
      <c r="I51" s="1290"/>
      <c r="J51" s="904"/>
      <c r="K51" s="597"/>
      <c r="L51" s="761"/>
      <c r="M51" s="762"/>
      <c r="N51" s="762"/>
      <c r="O51" s="762"/>
      <c r="P51" s="762"/>
      <c r="Q51" s="762"/>
      <c r="R51" s="762"/>
      <c r="S51" s="762"/>
      <c r="T51" s="762"/>
      <c r="U51" s="762"/>
      <c r="V51" s="762"/>
      <c r="W51" s="762"/>
      <c r="X51" s="762"/>
      <c r="Y51" s="763"/>
    </row>
    <row r="52" spans="1:25" s="149" customFormat="1" ht="20.100000000000001" customHeight="1">
      <c r="A52" s="597"/>
      <c r="B52" s="905"/>
      <c r="C52" s="362" t="s">
        <v>469</v>
      </c>
      <c r="D52" s="916"/>
      <c r="E52" s="606">
        <f>SUM(E53:E55)</f>
        <v>0</v>
      </c>
      <c r="F52" s="1288"/>
      <c r="G52" s="1289"/>
      <c r="H52" s="1289"/>
      <c r="I52" s="1290"/>
      <c r="J52" s="904"/>
      <c r="K52" s="597"/>
      <c r="L52" s="761"/>
      <c r="M52" s="762"/>
      <c r="N52" s="762"/>
      <c r="O52" s="762"/>
      <c r="P52" s="762"/>
      <c r="Q52" s="762"/>
      <c r="R52" s="762"/>
      <c r="S52" s="762"/>
      <c r="T52" s="762"/>
      <c r="U52" s="762"/>
      <c r="V52" s="762"/>
      <c r="W52" s="762"/>
      <c r="X52" s="762"/>
      <c r="Y52" s="763"/>
    </row>
    <row r="53" spans="1:25" s="149" customFormat="1" ht="20.100000000000001" customHeight="1">
      <c r="A53" s="597"/>
      <c r="B53" s="905"/>
      <c r="C53" s="586"/>
      <c r="D53" s="726"/>
      <c r="E53" s="915"/>
      <c r="F53" s="1288"/>
      <c r="G53" s="1289"/>
      <c r="H53" s="1289"/>
      <c r="I53" s="1290"/>
      <c r="J53" s="904"/>
      <c r="K53" s="597"/>
      <c r="L53" s="761"/>
      <c r="M53" s="762"/>
      <c r="N53" s="762"/>
      <c r="O53" s="762"/>
      <c r="P53" s="762"/>
      <c r="Q53" s="762"/>
      <c r="R53" s="762"/>
      <c r="S53" s="762"/>
      <c r="T53" s="762"/>
      <c r="U53" s="762"/>
      <c r="V53" s="762"/>
      <c r="W53" s="762"/>
      <c r="X53" s="762"/>
      <c r="Y53" s="763"/>
    </row>
    <row r="54" spans="1:25" s="149" customFormat="1" ht="20.100000000000001" customHeight="1">
      <c r="A54" s="597"/>
      <c r="B54" s="905"/>
      <c r="C54" s="586"/>
      <c r="D54" s="726"/>
      <c r="E54" s="915"/>
      <c r="F54" s="1288"/>
      <c r="G54" s="1289"/>
      <c r="H54" s="1289"/>
      <c r="I54" s="1290"/>
      <c r="J54" s="904"/>
      <c r="K54" s="597"/>
      <c r="L54" s="761"/>
      <c r="M54" s="762"/>
      <c r="N54" s="762"/>
      <c r="O54" s="762"/>
      <c r="P54" s="762"/>
      <c r="Q54" s="762"/>
      <c r="R54" s="762"/>
      <c r="S54" s="762"/>
      <c r="T54" s="762"/>
      <c r="U54" s="762"/>
      <c r="V54" s="762"/>
      <c r="W54" s="762"/>
      <c r="X54" s="762"/>
      <c r="Y54" s="763"/>
    </row>
    <row r="55" spans="1:25" s="149" customFormat="1" ht="20.100000000000001" customHeight="1">
      <c r="A55" s="597"/>
      <c r="B55" s="905"/>
      <c r="C55" s="909"/>
      <c r="D55" s="910"/>
      <c r="E55" s="917"/>
      <c r="F55" s="1291"/>
      <c r="G55" s="1292"/>
      <c r="H55" s="1292"/>
      <c r="I55" s="1293"/>
      <c r="J55" s="904"/>
      <c r="K55" s="597"/>
      <c r="L55" s="761"/>
      <c r="M55" s="762"/>
      <c r="N55" s="762"/>
      <c r="O55" s="762"/>
      <c r="P55" s="762"/>
      <c r="Q55" s="762"/>
      <c r="R55" s="762"/>
      <c r="S55" s="762"/>
      <c r="T55" s="762"/>
      <c r="U55" s="762"/>
      <c r="V55" s="762"/>
      <c r="W55" s="762"/>
      <c r="X55" s="762"/>
      <c r="Y55" s="763"/>
    </row>
    <row r="56" spans="1:25" s="149" customFormat="1" ht="23.1" customHeight="1" thickBot="1">
      <c r="A56" s="597"/>
      <c r="B56" s="905"/>
      <c r="C56" s="314" t="s">
        <v>470</v>
      </c>
      <c r="D56" s="315"/>
      <c r="E56" s="119">
        <f>E57+E61</f>
        <v>0</v>
      </c>
      <c r="F56" s="1282"/>
      <c r="G56" s="1283"/>
      <c r="H56" s="1283"/>
      <c r="I56" s="1284"/>
      <c r="J56" s="904"/>
      <c r="K56" s="597"/>
      <c r="L56" s="761"/>
      <c r="M56" s="762"/>
      <c r="N56" s="762"/>
      <c r="O56" s="762"/>
      <c r="P56" s="762"/>
      <c r="Q56" s="762"/>
      <c r="R56" s="762"/>
      <c r="S56" s="762"/>
      <c r="T56" s="762"/>
      <c r="U56" s="762"/>
      <c r="V56" s="762"/>
      <c r="W56" s="762"/>
      <c r="X56" s="762"/>
      <c r="Y56" s="763"/>
    </row>
    <row r="57" spans="1:25" s="149" customFormat="1" ht="20.100000000000001" customHeight="1">
      <c r="A57" s="597"/>
      <c r="B57" s="905"/>
      <c r="C57" s="604" t="s">
        <v>471</v>
      </c>
      <c r="D57" s="914"/>
      <c r="E57" s="605">
        <f>SUM(E58:E60)</f>
        <v>0</v>
      </c>
      <c r="F57" s="1285"/>
      <c r="G57" s="1286"/>
      <c r="H57" s="1286"/>
      <c r="I57" s="1287"/>
      <c r="J57" s="904"/>
      <c r="K57" s="597"/>
      <c r="L57" s="761"/>
      <c r="M57" s="762"/>
      <c r="N57" s="762"/>
      <c r="O57" s="762"/>
      <c r="P57" s="762"/>
      <c r="Q57" s="762"/>
      <c r="R57" s="762"/>
      <c r="S57" s="762"/>
      <c r="T57" s="762"/>
      <c r="U57" s="762"/>
      <c r="V57" s="762"/>
      <c r="W57" s="762"/>
      <c r="X57" s="762"/>
      <c r="Y57" s="763"/>
    </row>
    <row r="58" spans="1:25" s="149" customFormat="1" ht="20.100000000000001" customHeight="1">
      <c r="A58" s="597"/>
      <c r="B58" s="905"/>
      <c r="C58" s="586"/>
      <c r="D58" s="726"/>
      <c r="E58" s="915"/>
      <c r="F58" s="1288"/>
      <c r="G58" s="1289"/>
      <c r="H58" s="1289"/>
      <c r="I58" s="1290"/>
      <c r="J58" s="904"/>
      <c r="K58" s="597"/>
      <c r="L58" s="761"/>
      <c r="M58" s="762"/>
      <c r="N58" s="762"/>
      <c r="O58" s="762"/>
      <c r="P58" s="762"/>
      <c r="Q58" s="762"/>
      <c r="R58" s="762"/>
      <c r="S58" s="762"/>
      <c r="T58" s="762"/>
      <c r="U58" s="762"/>
      <c r="V58" s="762"/>
      <c r="W58" s="762"/>
      <c r="X58" s="762"/>
      <c r="Y58" s="763"/>
    </row>
    <row r="59" spans="1:25" s="149" customFormat="1" ht="20.100000000000001" customHeight="1">
      <c r="A59" s="597"/>
      <c r="B59" s="905"/>
      <c r="C59" s="586"/>
      <c r="D59" s="726"/>
      <c r="E59" s="915"/>
      <c r="F59" s="1288"/>
      <c r="G59" s="1289"/>
      <c r="H59" s="1289"/>
      <c r="I59" s="1290"/>
      <c r="J59" s="904"/>
      <c r="K59" s="597"/>
      <c r="L59" s="761"/>
      <c r="M59" s="762"/>
      <c r="N59" s="762"/>
      <c r="O59" s="762"/>
      <c r="P59" s="762"/>
      <c r="Q59" s="762"/>
      <c r="R59" s="762"/>
      <c r="S59" s="762"/>
      <c r="T59" s="762"/>
      <c r="U59" s="762"/>
      <c r="V59" s="762"/>
      <c r="W59" s="762"/>
      <c r="X59" s="762"/>
      <c r="Y59" s="763"/>
    </row>
    <row r="60" spans="1:25" s="149" customFormat="1" ht="20.100000000000001" customHeight="1">
      <c r="A60" s="597"/>
      <c r="B60" s="905"/>
      <c r="C60" s="586"/>
      <c r="D60" s="726"/>
      <c r="E60" s="915"/>
      <c r="F60" s="1288"/>
      <c r="G60" s="1289"/>
      <c r="H60" s="1289"/>
      <c r="I60" s="1290"/>
      <c r="J60" s="904"/>
      <c r="K60" s="597"/>
      <c r="L60" s="761"/>
      <c r="M60" s="762"/>
      <c r="N60" s="762"/>
      <c r="O60" s="762"/>
      <c r="P60" s="762"/>
      <c r="Q60" s="762"/>
      <c r="R60" s="762"/>
      <c r="S60" s="762"/>
      <c r="T60" s="762"/>
      <c r="U60" s="762"/>
      <c r="V60" s="762"/>
      <c r="W60" s="762"/>
      <c r="X60" s="762"/>
      <c r="Y60" s="763"/>
    </row>
    <row r="61" spans="1:25" s="149" customFormat="1" ht="20.100000000000001" customHeight="1">
      <c r="A61" s="597"/>
      <c r="B61" s="905"/>
      <c r="C61" s="362" t="s">
        <v>472</v>
      </c>
      <c r="D61" s="916"/>
      <c r="E61" s="606">
        <f>SUM(E62:E64)</f>
        <v>0</v>
      </c>
      <c r="F61" s="1288"/>
      <c r="G61" s="1289"/>
      <c r="H61" s="1289"/>
      <c r="I61" s="1290"/>
      <c r="J61" s="904"/>
      <c r="K61" s="597"/>
      <c r="L61" s="761"/>
      <c r="M61" s="762"/>
      <c r="N61" s="762"/>
      <c r="O61" s="762"/>
      <c r="P61" s="762"/>
      <c r="Q61" s="762"/>
      <c r="R61" s="762"/>
      <c r="S61" s="762"/>
      <c r="T61" s="762"/>
      <c r="U61" s="762"/>
      <c r="V61" s="762"/>
      <c r="W61" s="762"/>
      <c r="X61" s="762"/>
      <c r="Y61" s="763"/>
    </row>
    <row r="62" spans="1:25" s="149" customFormat="1" ht="20.100000000000001" customHeight="1">
      <c r="A62" s="597"/>
      <c r="B62" s="905"/>
      <c r="C62" s="586"/>
      <c r="D62" s="726"/>
      <c r="E62" s="915"/>
      <c r="F62" s="1288"/>
      <c r="G62" s="1289"/>
      <c r="H62" s="1289"/>
      <c r="I62" s="1290"/>
      <c r="J62" s="904"/>
      <c r="K62" s="597"/>
      <c r="L62" s="761"/>
      <c r="M62" s="762"/>
      <c r="N62" s="762"/>
      <c r="O62" s="762"/>
      <c r="P62" s="762"/>
      <c r="Q62" s="762"/>
      <c r="R62" s="762"/>
      <c r="S62" s="762"/>
      <c r="T62" s="762"/>
      <c r="U62" s="762"/>
      <c r="V62" s="762"/>
      <c r="W62" s="762"/>
      <c r="X62" s="762"/>
      <c r="Y62" s="763"/>
    </row>
    <row r="63" spans="1:25" s="149" customFormat="1" ht="20.100000000000001" customHeight="1">
      <c r="A63" s="597"/>
      <c r="B63" s="905"/>
      <c r="C63" s="586"/>
      <c r="D63" s="726"/>
      <c r="E63" s="915"/>
      <c r="F63" s="1288"/>
      <c r="G63" s="1289"/>
      <c r="H63" s="1289"/>
      <c r="I63" s="1290"/>
      <c r="J63" s="904"/>
      <c r="K63" s="597"/>
      <c r="L63" s="761"/>
      <c r="M63" s="762"/>
      <c r="N63" s="762"/>
      <c r="O63" s="762"/>
      <c r="P63" s="762"/>
      <c r="Q63" s="762"/>
      <c r="R63" s="762"/>
      <c r="S63" s="762"/>
      <c r="T63" s="762"/>
      <c r="U63" s="762"/>
      <c r="V63" s="762"/>
      <c r="W63" s="762"/>
      <c r="X63" s="762"/>
      <c r="Y63" s="763"/>
    </row>
    <row r="64" spans="1:25" s="149" customFormat="1" ht="20.100000000000001" customHeight="1">
      <c r="A64" s="597"/>
      <c r="B64" s="905"/>
      <c r="C64" s="909"/>
      <c r="D64" s="910"/>
      <c r="E64" s="917"/>
      <c r="F64" s="1291"/>
      <c r="G64" s="1292"/>
      <c r="H64" s="1292"/>
      <c r="I64" s="1293"/>
      <c r="J64" s="904"/>
      <c r="K64" s="597"/>
      <c r="L64" s="761"/>
      <c r="M64" s="762"/>
      <c r="N64" s="762"/>
      <c r="O64" s="762"/>
      <c r="P64" s="762"/>
      <c r="Q64" s="762"/>
      <c r="R64" s="762"/>
      <c r="S64" s="762"/>
      <c r="T64" s="762"/>
      <c r="U64" s="762"/>
      <c r="V64" s="762"/>
      <c r="W64" s="762"/>
      <c r="X64" s="762"/>
      <c r="Y64" s="763"/>
    </row>
    <row r="65" spans="1:25" s="149" customFormat="1" ht="23.1" customHeight="1">
      <c r="A65" s="597"/>
      <c r="B65" s="905"/>
      <c r="C65" s="391"/>
      <c r="D65" s="391"/>
      <c r="E65" s="431"/>
      <c r="F65" s="431"/>
      <c r="G65" s="431"/>
      <c r="H65" s="431"/>
      <c r="I65" s="431"/>
      <c r="J65" s="904"/>
      <c r="K65" s="597"/>
      <c r="L65" s="761"/>
      <c r="M65" s="762"/>
      <c r="N65" s="762"/>
      <c r="O65" s="762"/>
      <c r="P65" s="762"/>
      <c r="Q65" s="762"/>
      <c r="R65" s="762"/>
      <c r="S65" s="762"/>
      <c r="T65" s="762"/>
      <c r="U65" s="762"/>
      <c r="V65" s="762"/>
      <c r="W65" s="762"/>
      <c r="X65" s="762"/>
      <c r="Y65" s="763"/>
    </row>
    <row r="66" spans="1:25" s="149" customFormat="1" ht="23.1" customHeight="1">
      <c r="A66" s="597"/>
      <c r="B66" s="905"/>
      <c r="C66" s="296"/>
      <c r="D66" s="297"/>
      <c r="E66" s="1125" t="s">
        <v>445</v>
      </c>
      <c r="F66" s="1246" t="s">
        <v>265</v>
      </c>
      <c r="G66" s="1247"/>
      <c r="H66" s="1247"/>
      <c r="I66" s="1248"/>
      <c r="J66" s="904"/>
      <c r="K66" s="597"/>
      <c r="L66" s="761"/>
      <c r="M66" s="762"/>
      <c r="N66" s="762"/>
      <c r="O66" s="762"/>
      <c r="P66" s="762"/>
      <c r="Q66" s="762"/>
      <c r="R66" s="762"/>
      <c r="S66" s="762"/>
      <c r="T66" s="762"/>
      <c r="U66" s="762"/>
      <c r="V66" s="762"/>
      <c r="W66" s="762"/>
      <c r="X66" s="762"/>
      <c r="Y66" s="763"/>
    </row>
    <row r="67" spans="1:25" s="149" customFormat="1" ht="23.1" customHeight="1">
      <c r="A67" s="597"/>
      <c r="B67" s="905"/>
      <c r="C67" s="303" t="s">
        <v>473</v>
      </c>
      <c r="D67" s="304"/>
      <c r="E67" s="316">
        <f>ejercicio</f>
        <v>2025</v>
      </c>
      <c r="F67" s="1249"/>
      <c r="G67" s="1250"/>
      <c r="H67" s="1250"/>
      <c r="I67" s="1251"/>
      <c r="J67" s="904"/>
      <c r="K67" s="597"/>
      <c r="L67" s="761"/>
      <c r="M67" s="762"/>
      <c r="N67" s="762"/>
      <c r="O67" s="762"/>
      <c r="P67" s="762"/>
      <c r="Q67" s="762"/>
      <c r="R67" s="762"/>
      <c r="S67" s="762"/>
      <c r="T67" s="762"/>
      <c r="U67" s="762"/>
      <c r="V67" s="762"/>
      <c r="W67" s="762"/>
      <c r="X67" s="762"/>
      <c r="Y67" s="763"/>
    </row>
    <row r="68" spans="1:25" s="149" customFormat="1" ht="23.1" customHeight="1">
      <c r="A68" s="597"/>
      <c r="B68" s="905"/>
      <c r="C68" s="919" t="s">
        <v>474</v>
      </c>
      <c r="D68" s="920"/>
      <c r="E68" s="921">
        <f>2768.58+4381.95</f>
        <v>7150.53</v>
      </c>
      <c r="F68" s="1294" t="s">
        <v>475</v>
      </c>
      <c r="G68" s="1295"/>
      <c r="H68" s="1295"/>
      <c r="I68" s="1296"/>
      <c r="J68" s="904"/>
      <c r="K68" s="597"/>
      <c r="L68" s="761"/>
      <c r="M68" s="762"/>
      <c r="N68" s="762"/>
      <c r="O68" s="762"/>
      <c r="P68" s="762"/>
      <c r="Q68" s="762"/>
      <c r="R68" s="762"/>
      <c r="S68" s="762"/>
      <c r="T68" s="762"/>
      <c r="U68" s="762"/>
      <c r="V68" s="762"/>
      <c r="W68" s="762"/>
      <c r="X68" s="762"/>
      <c r="Y68" s="763"/>
    </row>
    <row r="69" spans="1:25" s="149" customFormat="1" ht="23.1" customHeight="1">
      <c r="A69" s="597"/>
      <c r="B69" s="905"/>
      <c r="C69" s="866" t="s">
        <v>476</v>
      </c>
      <c r="D69" s="923"/>
      <c r="E69" s="917">
        <v>-15819.12</v>
      </c>
      <c r="F69" s="1291" t="s">
        <v>475</v>
      </c>
      <c r="G69" s="1292"/>
      <c r="H69" s="1292"/>
      <c r="I69" s="1293"/>
      <c r="J69" s="904"/>
      <c r="K69" s="597"/>
      <c r="L69" s="761"/>
      <c r="M69" s="762"/>
      <c r="N69" s="762"/>
      <c r="O69" s="762"/>
      <c r="P69" s="762"/>
      <c r="Q69" s="762"/>
      <c r="R69" s="762"/>
      <c r="S69" s="762"/>
      <c r="T69" s="762"/>
      <c r="U69" s="762"/>
      <c r="V69" s="762"/>
      <c r="W69" s="762"/>
      <c r="X69" s="762"/>
      <c r="Y69" s="763"/>
    </row>
    <row r="70" spans="1:25" s="149" customFormat="1" ht="23.1" customHeight="1">
      <c r="A70" s="597"/>
      <c r="B70" s="905"/>
      <c r="C70" s="391"/>
      <c r="D70" s="391"/>
      <c r="E70" s="431"/>
      <c r="F70" s="431"/>
      <c r="G70" s="431"/>
      <c r="H70" s="431"/>
      <c r="I70" s="431"/>
      <c r="J70" s="904"/>
      <c r="K70" s="597"/>
      <c r="L70" s="761"/>
      <c r="M70" s="762"/>
      <c r="N70" s="762"/>
      <c r="O70" s="762"/>
      <c r="P70" s="762"/>
      <c r="Q70" s="762"/>
      <c r="R70" s="762"/>
      <c r="S70" s="762"/>
      <c r="T70" s="762"/>
      <c r="U70" s="762"/>
      <c r="V70" s="762"/>
      <c r="W70" s="762"/>
      <c r="X70" s="762"/>
      <c r="Y70" s="763"/>
    </row>
    <row r="71" spans="1:25" s="149" customFormat="1" ht="23.1" customHeight="1">
      <c r="A71" s="597"/>
      <c r="B71" s="905"/>
      <c r="C71" s="296"/>
      <c r="D71" s="297"/>
      <c r="E71" s="1125" t="s">
        <v>445</v>
      </c>
      <c r="F71" s="1246" t="s">
        <v>265</v>
      </c>
      <c r="G71" s="1247"/>
      <c r="H71" s="1247"/>
      <c r="I71" s="1248"/>
      <c r="J71" s="904"/>
      <c r="K71" s="597"/>
      <c r="L71" s="761"/>
      <c r="M71" s="762"/>
      <c r="N71" s="762"/>
      <c r="O71" s="762"/>
      <c r="P71" s="762"/>
      <c r="Q71" s="762"/>
      <c r="R71" s="762"/>
      <c r="S71" s="762"/>
      <c r="T71" s="762"/>
      <c r="U71" s="762"/>
      <c r="V71" s="762"/>
      <c r="W71" s="762"/>
      <c r="X71" s="762"/>
      <c r="Y71" s="763"/>
    </row>
    <row r="72" spans="1:25" s="149" customFormat="1" ht="23.1" customHeight="1">
      <c r="A72" s="597"/>
      <c r="B72" s="905"/>
      <c r="C72" s="303" t="s">
        <v>477</v>
      </c>
      <c r="D72" s="304"/>
      <c r="E72" s="316">
        <f>ejercicio</f>
        <v>2025</v>
      </c>
      <c r="F72" s="1249"/>
      <c r="G72" s="1250"/>
      <c r="H72" s="1250"/>
      <c r="I72" s="1251"/>
      <c r="J72" s="904"/>
      <c r="K72" s="597"/>
      <c r="L72" s="761"/>
      <c r="M72" s="762"/>
      <c r="N72" s="762"/>
      <c r="O72" s="762"/>
      <c r="P72" s="762"/>
      <c r="Q72" s="762"/>
      <c r="R72" s="762"/>
      <c r="S72" s="762"/>
      <c r="T72" s="762"/>
      <c r="U72" s="762"/>
      <c r="V72" s="762"/>
      <c r="W72" s="762"/>
      <c r="X72" s="762"/>
      <c r="Y72" s="763"/>
    </row>
    <row r="73" spans="1:25" s="149" customFormat="1" ht="23.1" customHeight="1">
      <c r="A73" s="597"/>
      <c r="B73" s="905"/>
      <c r="C73" s="306" t="s">
        <v>478</v>
      </c>
      <c r="D73" s="307"/>
      <c r="E73" s="131">
        <f>SUM(E74:E77)</f>
        <v>0</v>
      </c>
      <c r="F73" s="1300"/>
      <c r="G73" s="1301"/>
      <c r="H73" s="1301"/>
      <c r="I73" s="1302"/>
      <c r="J73" s="904"/>
      <c r="K73" s="597"/>
      <c r="L73" s="761"/>
      <c r="M73" s="762"/>
      <c r="N73" s="762"/>
      <c r="O73" s="762"/>
      <c r="P73" s="762"/>
      <c r="Q73" s="762"/>
      <c r="R73" s="762"/>
      <c r="S73" s="762"/>
      <c r="T73" s="762"/>
      <c r="U73" s="762"/>
      <c r="V73" s="762"/>
      <c r="W73" s="762"/>
      <c r="X73" s="762"/>
      <c r="Y73" s="763"/>
    </row>
    <row r="74" spans="1:25" s="149" customFormat="1" ht="23.1" customHeight="1">
      <c r="A74" s="597"/>
      <c r="B74" s="905"/>
      <c r="C74" s="924" t="s">
        <v>479</v>
      </c>
      <c r="D74" s="925"/>
      <c r="E74" s="926"/>
      <c r="F74" s="1294"/>
      <c r="G74" s="1295"/>
      <c r="H74" s="1295"/>
      <c r="I74" s="1296"/>
      <c r="J74" s="904"/>
      <c r="K74" s="597"/>
      <c r="L74" s="761"/>
      <c r="M74" s="762"/>
      <c r="N74" s="762"/>
      <c r="O74" s="762"/>
      <c r="P74" s="762"/>
      <c r="Q74" s="762"/>
      <c r="R74" s="762"/>
      <c r="S74" s="762"/>
      <c r="T74" s="762"/>
      <c r="U74" s="762"/>
      <c r="V74" s="762"/>
      <c r="W74" s="762"/>
      <c r="X74" s="762"/>
      <c r="Y74" s="763"/>
    </row>
    <row r="75" spans="1:25" s="149" customFormat="1" ht="23.1" customHeight="1">
      <c r="A75" s="597"/>
      <c r="B75" s="905"/>
      <c r="C75" s="823" t="s">
        <v>480</v>
      </c>
      <c r="D75" s="916"/>
      <c r="E75" s="907"/>
      <c r="F75" s="1288"/>
      <c r="G75" s="1289"/>
      <c r="H75" s="1289"/>
      <c r="I75" s="1290"/>
      <c r="J75" s="904"/>
      <c r="K75" s="597"/>
      <c r="L75" s="761"/>
      <c r="M75" s="762"/>
      <c r="N75" s="762"/>
      <c r="O75" s="762"/>
      <c r="P75" s="762"/>
      <c r="Q75" s="762"/>
      <c r="R75" s="762"/>
      <c r="S75" s="762"/>
      <c r="T75" s="762"/>
      <c r="U75" s="762"/>
      <c r="V75" s="762"/>
      <c r="W75" s="762"/>
      <c r="X75" s="762"/>
      <c r="Y75" s="763"/>
    </row>
    <row r="76" spans="1:25" s="149" customFormat="1" ht="23.1" customHeight="1">
      <c r="A76" s="597"/>
      <c r="B76" s="905"/>
      <c r="C76" s="927" t="s">
        <v>481</v>
      </c>
      <c r="D76" s="928"/>
      <c r="E76" s="929"/>
      <c r="F76" s="1288"/>
      <c r="G76" s="1289"/>
      <c r="H76" s="1289"/>
      <c r="I76" s="1290"/>
      <c r="J76" s="904"/>
      <c r="K76" s="597"/>
      <c r="L76" s="761"/>
      <c r="M76" s="762"/>
      <c r="N76" s="762"/>
      <c r="O76" s="762"/>
      <c r="P76" s="762"/>
      <c r="Q76" s="762"/>
      <c r="R76" s="762"/>
      <c r="S76" s="762"/>
      <c r="T76" s="762"/>
      <c r="U76" s="762"/>
      <c r="V76" s="762"/>
      <c r="W76" s="762"/>
      <c r="X76" s="762"/>
      <c r="Y76" s="763"/>
    </row>
    <row r="77" spans="1:25" s="149" customFormat="1" ht="23.1" customHeight="1">
      <c r="A77" s="597"/>
      <c r="B77" s="905"/>
      <c r="C77" s="823" t="s">
        <v>482</v>
      </c>
      <c r="D77" s="916"/>
      <c r="E77" s="907"/>
      <c r="F77" s="1291"/>
      <c r="G77" s="1292"/>
      <c r="H77" s="1292"/>
      <c r="I77" s="1293"/>
      <c r="J77" s="904"/>
      <c r="K77" s="597"/>
      <c r="L77" s="761"/>
      <c r="M77" s="762"/>
      <c r="N77" s="762"/>
      <c r="O77" s="762"/>
      <c r="P77" s="762"/>
      <c r="Q77" s="762"/>
      <c r="R77" s="762"/>
      <c r="S77" s="762"/>
      <c r="T77" s="762"/>
      <c r="U77" s="762"/>
      <c r="V77" s="762"/>
      <c r="W77" s="762"/>
      <c r="X77" s="762"/>
      <c r="Y77" s="763"/>
    </row>
    <row r="78" spans="1:25" s="308" customFormat="1" ht="23.1" customHeight="1">
      <c r="B78" s="189"/>
      <c r="C78" s="306" t="s">
        <v>483</v>
      </c>
      <c r="D78" s="307"/>
      <c r="E78" s="131">
        <f>SUM(E79:E85)</f>
        <v>0</v>
      </c>
      <c r="F78" s="1300"/>
      <c r="G78" s="1301"/>
      <c r="H78" s="1301"/>
      <c r="I78" s="1302"/>
      <c r="J78" s="190"/>
      <c r="L78" s="761"/>
      <c r="M78" s="762"/>
      <c r="N78" s="762"/>
      <c r="O78" s="762"/>
      <c r="P78" s="762"/>
      <c r="Q78" s="762"/>
      <c r="R78" s="762"/>
      <c r="S78" s="762"/>
      <c r="T78" s="762"/>
      <c r="U78" s="762"/>
      <c r="V78" s="762"/>
      <c r="W78" s="762"/>
      <c r="X78" s="762"/>
      <c r="Y78" s="763"/>
    </row>
    <row r="79" spans="1:25" s="149" customFormat="1" ht="23.1" customHeight="1">
      <c r="A79" s="597"/>
      <c r="B79" s="905"/>
      <c r="C79" s="924" t="s">
        <v>484</v>
      </c>
      <c r="D79" s="925"/>
      <c r="E79" s="429"/>
      <c r="F79" s="1294"/>
      <c r="G79" s="1295"/>
      <c r="H79" s="1295"/>
      <c r="I79" s="1296"/>
      <c r="J79" s="904"/>
      <c r="K79" s="597"/>
      <c r="L79" s="761"/>
      <c r="M79" s="762"/>
      <c r="N79" s="762"/>
      <c r="O79" s="762"/>
      <c r="P79" s="762"/>
      <c r="Q79" s="762"/>
      <c r="R79" s="762"/>
      <c r="S79" s="762"/>
      <c r="T79" s="762"/>
      <c r="U79" s="762"/>
      <c r="V79" s="762"/>
      <c r="W79" s="762"/>
      <c r="X79" s="762"/>
      <c r="Y79" s="763"/>
    </row>
    <row r="80" spans="1:25" s="149" customFormat="1" ht="23.1" customHeight="1">
      <c r="A80" s="597"/>
      <c r="B80" s="905"/>
      <c r="C80" s="823" t="s">
        <v>485</v>
      </c>
      <c r="D80" s="916"/>
      <c r="E80" s="915"/>
      <c r="F80" s="1288"/>
      <c r="G80" s="1289"/>
      <c r="H80" s="1289"/>
      <c r="I80" s="1290"/>
      <c r="J80" s="904"/>
      <c r="K80" s="597"/>
      <c r="L80" s="761"/>
      <c r="M80" s="762"/>
      <c r="N80" s="762"/>
      <c r="O80" s="762"/>
      <c r="P80" s="762"/>
      <c r="Q80" s="762"/>
      <c r="R80" s="762"/>
      <c r="S80" s="762"/>
      <c r="T80" s="762"/>
      <c r="U80" s="762"/>
      <c r="V80" s="762"/>
      <c r="W80" s="762"/>
      <c r="X80" s="762"/>
      <c r="Y80" s="763"/>
    </row>
    <row r="81" spans="1:25" s="149" customFormat="1" ht="23.1" customHeight="1">
      <c r="A81" s="597"/>
      <c r="B81" s="905"/>
      <c r="C81" s="823" t="s">
        <v>486</v>
      </c>
      <c r="D81" s="916"/>
      <c r="E81" s="915"/>
      <c r="F81" s="1288"/>
      <c r="G81" s="1289"/>
      <c r="H81" s="1289"/>
      <c r="I81" s="1290"/>
      <c r="J81" s="904"/>
      <c r="K81" s="597"/>
      <c r="L81" s="761"/>
      <c r="M81" s="762"/>
      <c r="N81" s="762"/>
      <c r="O81" s="762"/>
      <c r="P81" s="762"/>
      <c r="Q81" s="762"/>
      <c r="R81" s="762"/>
      <c r="S81" s="762"/>
      <c r="T81" s="762"/>
      <c r="U81" s="762"/>
      <c r="V81" s="762"/>
      <c r="W81" s="762"/>
      <c r="X81" s="762"/>
      <c r="Y81" s="763"/>
    </row>
    <row r="82" spans="1:25" s="149" customFormat="1" ht="23.1" customHeight="1">
      <c r="A82" s="597"/>
      <c r="B82" s="905"/>
      <c r="C82" s="823" t="s">
        <v>487</v>
      </c>
      <c r="D82" s="916"/>
      <c r="E82" s="915"/>
      <c r="F82" s="1288"/>
      <c r="G82" s="1289"/>
      <c r="H82" s="1289"/>
      <c r="I82" s="1290"/>
      <c r="J82" s="904"/>
      <c r="K82" s="597"/>
      <c r="L82" s="761"/>
      <c r="M82" s="762"/>
      <c r="N82" s="762"/>
      <c r="O82" s="762"/>
      <c r="P82" s="762"/>
      <c r="Q82" s="762"/>
      <c r="R82" s="762"/>
      <c r="S82" s="762"/>
      <c r="T82" s="762"/>
      <c r="U82" s="762"/>
      <c r="V82" s="762"/>
      <c r="W82" s="762"/>
      <c r="X82" s="762"/>
      <c r="Y82" s="763"/>
    </row>
    <row r="83" spans="1:25" s="149" customFormat="1" ht="23.1" customHeight="1">
      <c r="A83" s="597"/>
      <c r="B83" s="905"/>
      <c r="C83" s="823" t="s">
        <v>488</v>
      </c>
      <c r="D83" s="916"/>
      <c r="E83" s="915"/>
      <c r="F83" s="1288"/>
      <c r="G83" s="1289"/>
      <c r="H83" s="1289"/>
      <c r="I83" s="1290"/>
      <c r="J83" s="904"/>
      <c r="K83" s="597"/>
      <c r="L83" s="761"/>
      <c r="M83" s="762"/>
      <c r="N83" s="762"/>
      <c r="O83" s="762"/>
      <c r="P83" s="762"/>
      <c r="Q83" s="762"/>
      <c r="R83" s="762"/>
      <c r="S83" s="762"/>
      <c r="T83" s="762"/>
      <c r="U83" s="762"/>
      <c r="V83" s="762"/>
      <c r="W83" s="762"/>
      <c r="X83" s="762"/>
      <c r="Y83" s="763"/>
    </row>
    <row r="84" spans="1:25" s="149" customFormat="1" ht="23.1" customHeight="1">
      <c r="A84" s="597"/>
      <c r="B84" s="905"/>
      <c r="C84" s="823" t="s">
        <v>489</v>
      </c>
      <c r="D84" s="916"/>
      <c r="E84" s="915"/>
      <c r="F84" s="1288"/>
      <c r="G84" s="1289"/>
      <c r="H84" s="1289"/>
      <c r="I84" s="1290"/>
      <c r="J84" s="904"/>
      <c r="K84" s="597"/>
      <c r="L84" s="761"/>
      <c r="M84" s="762"/>
      <c r="N84" s="762"/>
      <c r="O84" s="762"/>
      <c r="P84" s="762"/>
      <c r="Q84" s="762"/>
      <c r="R84" s="762"/>
      <c r="S84" s="762"/>
      <c r="T84" s="762"/>
      <c r="U84" s="762"/>
      <c r="V84" s="762"/>
      <c r="W84" s="762"/>
      <c r="X84" s="762"/>
      <c r="Y84" s="763"/>
    </row>
    <row r="85" spans="1:25" s="149" customFormat="1" ht="23.1" customHeight="1">
      <c r="A85" s="597"/>
      <c r="B85" s="905"/>
      <c r="C85" s="866" t="s">
        <v>490</v>
      </c>
      <c r="D85" s="923"/>
      <c r="E85" s="917"/>
      <c r="F85" s="1291"/>
      <c r="G85" s="1292"/>
      <c r="H85" s="1292"/>
      <c r="I85" s="1293"/>
      <c r="J85" s="904"/>
      <c r="K85" s="597"/>
      <c r="L85" s="761"/>
      <c r="M85" s="762"/>
      <c r="N85" s="762"/>
      <c r="O85" s="762"/>
      <c r="P85" s="762"/>
      <c r="Q85" s="762"/>
      <c r="R85" s="762"/>
      <c r="S85" s="762"/>
      <c r="T85" s="762"/>
      <c r="U85" s="762"/>
      <c r="V85" s="762"/>
      <c r="W85" s="762"/>
      <c r="X85" s="762"/>
      <c r="Y85" s="763"/>
    </row>
    <row r="86" spans="1:25" s="149" customFormat="1" ht="23.1" customHeight="1">
      <c r="A86" s="597"/>
      <c r="B86" s="905"/>
      <c r="C86" s="391"/>
      <c r="D86" s="391"/>
      <c r="E86" s="431"/>
      <c r="F86" s="431"/>
      <c r="G86" s="431"/>
      <c r="H86" s="431"/>
      <c r="I86" s="431"/>
      <c r="J86" s="904"/>
      <c r="K86" s="597"/>
      <c r="L86" s="761"/>
      <c r="M86" s="762"/>
      <c r="N86" s="762"/>
      <c r="O86" s="762"/>
      <c r="P86" s="762"/>
      <c r="Q86" s="762"/>
      <c r="R86" s="762"/>
      <c r="S86" s="762"/>
      <c r="T86" s="762"/>
      <c r="U86" s="762"/>
      <c r="V86" s="762"/>
      <c r="W86" s="762"/>
      <c r="X86" s="762"/>
      <c r="Y86" s="763"/>
    </row>
    <row r="87" spans="1:25" s="149" customFormat="1" ht="23.1" customHeight="1">
      <c r="A87" s="597"/>
      <c r="B87" s="905"/>
      <c r="C87" s="1238" t="s">
        <v>491</v>
      </c>
      <c r="D87" s="1239"/>
      <c r="E87" s="1125" t="s">
        <v>445</v>
      </c>
      <c r="F87" s="351" t="s">
        <v>492</v>
      </c>
      <c r="G87" s="1246" t="s">
        <v>265</v>
      </c>
      <c r="H87" s="1247"/>
      <c r="I87" s="1248"/>
      <c r="J87" s="904"/>
      <c r="K87" s="597"/>
      <c r="L87" s="761"/>
      <c r="M87" s="762"/>
      <c r="N87" s="762"/>
      <c r="O87" s="762"/>
      <c r="P87" s="762"/>
      <c r="Q87" s="762"/>
      <c r="R87" s="762"/>
      <c r="S87" s="762"/>
      <c r="T87" s="762"/>
      <c r="U87" s="762"/>
      <c r="V87" s="762"/>
      <c r="W87" s="762"/>
      <c r="X87" s="762"/>
      <c r="Y87" s="763"/>
    </row>
    <row r="88" spans="1:25" s="149" customFormat="1" ht="42.95" customHeight="1">
      <c r="A88" s="597"/>
      <c r="B88" s="905"/>
      <c r="C88" s="1240"/>
      <c r="D88" s="1241"/>
      <c r="E88" s="316">
        <f>ejercicio</f>
        <v>2025</v>
      </c>
      <c r="F88" s="352" t="s">
        <v>493</v>
      </c>
      <c r="G88" s="1249"/>
      <c r="H88" s="1250"/>
      <c r="I88" s="1251"/>
      <c r="J88" s="904"/>
      <c r="K88" s="597"/>
      <c r="L88" s="761"/>
      <c r="M88" s="762"/>
      <c r="N88" s="762"/>
      <c r="O88" s="762"/>
      <c r="P88" s="762"/>
      <c r="Q88" s="762"/>
      <c r="R88" s="762"/>
      <c r="S88" s="762"/>
      <c r="T88" s="762"/>
      <c r="U88" s="762"/>
      <c r="V88" s="762"/>
      <c r="W88" s="762"/>
      <c r="X88" s="762"/>
      <c r="Y88" s="763"/>
    </row>
    <row r="89" spans="1:25" s="149" customFormat="1" ht="23.1" customHeight="1" thickBot="1">
      <c r="A89" s="597"/>
      <c r="B89" s="905"/>
      <c r="C89" s="314" t="s">
        <v>494</v>
      </c>
      <c r="D89" s="353"/>
      <c r="E89" s="119">
        <f>SUM(E90:E92)</f>
        <v>0</v>
      </c>
      <c r="F89" s="119"/>
      <c r="G89" s="1282"/>
      <c r="H89" s="1283"/>
      <c r="I89" s="1284"/>
      <c r="J89" s="904"/>
      <c r="K89" s="597"/>
      <c r="L89" s="761"/>
      <c r="M89" s="762"/>
      <c r="N89" s="762"/>
      <c r="O89" s="762"/>
      <c r="P89" s="762"/>
      <c r="Q89" s="762"/>
      <c r="R89" s="762"/>
      <c r="S89" s="762"/>
      <c r="T89" s="762"/>
      <c r="U89" s="762"/>
      <c r="V89" s="762"/>
      <c r="W89" s="762"/>
      <c r="X89" s="762"/>
      <c r="Y89" s="763"/>
    </row>
    <row r="90" spans="1:25" s="149" customFormat="1" ht="23.1" customHeight="1">
      <c r="A90" s="597"/>
      <c r="B90" s="905"/>
      <c r="C90" s="1242" t="s">
        <v>495</v>
      </c>
      <c r="D90" s="1243"/>
      <c r="E90" s="932">
        <f>'FC-3_CPyG'!H59</f>
        <v>0</v>
      </c>
      <c r="F90" s="735"/>
      <c r="G90" s="1297"/>
      <c r="H90" s="1298"/>
      <c r="I90" s="1299"/>
      <c r="J90" s="904"/>
      <c r="K90" s="597"/>
      <c r="L90" s="761"/>
      <c r="M90" s="762"/>
      <c r="N90" s="762"/>
      <c r="O90" s="762"/>
      <c r="P90" s="762"/>
      <c r="Q90" s="762"/>
      <c r="R90" s="762"/>
      <c r="S90" s="762"/>
      <c r="T90" s="762"/>
      <c r="U90" s="762"/>
      <c r="V90" s="762"/>
      <c r="W90" s="762"/>
      <c r="X90" s="762"/>
      <c r="Y90" s="763"/>
    </row>
    <row r="91" spans="1:25" s="149" customFormat="1" ht="23.1" customHeight="1">
      <c r="A91" s="597"/>
      <c r="B91" s="905"/>
      <c r="C91" s="1244" t="s">
        <v>496</v>
      </c>
      <c r="D91" s="1245"/>
      <c r="E91" s="932">
        <f>'FC-3_CPyG'!H60</f>
        <v>0</v>
      </c>
      <c r="F91" s="735"/>
      <c r="G91" s="1288"/>
      <c r="H91" s="1289"/>
      <c r="I91" s="1290"/>
      <c r="J91" s="904"/>
      <c r="K91" s="597"/>
      <c r="L91" s="761"/>
      <c r="M91" s="762"/>
      <c r="N91" s="762"/>
      <c r="O91" s="762"/>
      <c r="P91" s="762"/>
      <c r="Q91" s="762"/>
      <c r="R91" s="762"/>
      <c r="S91" s="762"/>
      <c r="T91" s="762"/>
      <c r="U91" s="762"/>
      <c r="V91" s="762"/>
      <c r="W91" s="762"/>
      <c r="X91" s="762"/>
      <c r="Y91" s="763"/>
    </row>
    <row r="92" spans="1:25" s="149" customFormat="1" ht="23.1" customHeight="1">
      <c r="A92" s="597"/>
      <c r="B92" s="905"/>
      <c r="C92" s="1244" t="s">
        <v>497</v>
      </c>
      <c r="D92" s="1245"/>
      <c r="E92" s="934">
        <f>'FC-3_CPyG'!H61</f>
        <v>0</v>
      </c>
      <c r="F92" s="736"/>
      <c r="G92" s="1288"/>
      <c r="H92" s="1289"/>
      <c r="I92" s="1290"/>
      <c r="J92" s="904"/>
      <c r="K92" s="597"/>
      <c r="L92" s="761"/>
      <c r="M92" s="762"/>
      <c r="N92" s="762"/>
      <c r="O92" s="762"/>
      <c r="P92" s="762"/>
      <c r="Q92" s="762"/>
      <c r="R92" s="762"/>
      <c r="S92" s="762"/>
      <c r="T92" s="762"/>
      <c r="U92" s="762"/>
      <c r="V92" s="762"/>
      <c r="W92" s="762"/>
      <c r="X92" s="762"/>
      <c r="Y92" s="763"/>
    </row>
    <row r="93" spans="1:25" s="149" customFormat="1" ht="23.1" customHeight="1">
      <c r="A93" s="597"/>
      <c r="B93" s="905"/>
      <c r="C93" s="391"/>
      <c r="D93" s="391"/>
      <c r="E93" s="935"/>
      <c r="F93" s="935"/>
      <c r="G93" s="935"/>
      <c r="H93" s="936"/>
      <c r="I93" s="936"/>
      <c r="J93" s="904"/>
      <c r="K93" s="597"/>
      <c r="L93" s="761"/>
      <c r="M93" s="762"/>
      <c r="N93" s="762"/>
      <c r="O93" s="762"/>
      <c r="P93" s="762"/>
      <c r="Q93" s="762"/>
      <c r="R93" s="762"/>
      <c r="S93" s="762"/>
      <c r="T93" s="762"/>
      <c r="U93" s="762"/>
      <c r="V93" s="762"/>
      <c r="W93" s="762"/>
      <c r="X93" s="762"/>
      <c r="Y93" s="763"/>
    </row>
    <row r="94" spans="1:25" s="149" customFormat="1" ht="23.1" customHeight="1">
      <c r="A94" s="597"/>
      <c r="B94" s="905"/>
      <c r="C94" s="348" t="s">
        <v>317</v>
      </c>
      <c r="D94" s="349"/>
      <c r="E94" s="431"/>
      <c r="F94" s="431"/>
      <c r="G94" s="431"/>
      <c r="H94" s="431"/>
      <c r="I94" s="431"/>
      <c r="J94" s="904"/>
      <c r="K94" s="597"/>
      <c r="L94" s="761"/>
      <c r="M94" s="762"/>
      <c r="N94" s="762"/>
      <c r="O94" s="762"/>
      <c r="P94" s="762"/>
      <c r="Q94" s="762"/>
      <c r="R94" s="762"/>
      <c r="S94" s="762"/>
      <c r="T94" s="762"/>
      <c r="U94" s="762"/>
      <c r="V94" s="762"/>
      <c r="W94" s="762"/>
      <c r="X94" s="762"/>
      <c r="Y94" s="763"/>
    </row>
    <row r="95" spans="1:25" s="149" customFormat="1" ht="23.1" customHeight="1">
      <c r="A95" s="597"/>
      <c r="B95" s="905"/>
      <c r="C95" s="349" t="s">
        <v>498</v>
      </c>
      <c r="D95" s="349"/>
      <c r="E95" s="116"/>
      <c r="F95" s="116"/>
      <c r="G95" s="116"/>
      <c r="H95" s="116"/>
      <c r="I95" s="116"/>
      <c r="J95" s="904"/>
      <c r="K95" s="597"/>
      <c r="L95" s="761"/>
      <c r="M95" s="762"/>
      <c r="N95" s="762"/>
      <c r="O95" s="762"/>
      <c r="P95" s="762"/>
      <c r="Q95" s="762"/>
      <c r="R95" s="762"/>
      <c r="S95" s="762"/>
      <c r="T95" s="762"/>
      <c r="U95" s="762"/>
      <c r="V95" s="762"/>
      <c r="W95" s="762"/>
      <c r="X95" s="762"/>
      <c r="Y95" s="763"/>
    </row>
    <row r="96" spans="1:25" s="149" customFormat="1" ht="23.1" customHeight="1">
      <c r="A96" s="597"/>
      <c r="B96" s="905"/>
      <c r="C96" s="350" t="s">
        <v>499</v>
      </c>
      <c r="D96" s="349"/>
      <c r="E96" s="116"/>
      <c r="F96" s="116"/>
      <c r="G96" s="116"/>
      <c r="H96" s="116"/>
      <c r="I96" s="116"/>
      <c r="J96" s="904"/>
      <c r="K96" s="597"/>
      <c r="L96" s="761"/>
      <c r="M96" s="762"/>
      <c r="N96" s="762"/>
      <c r="O96" s="762"/>
      <c r="P96" s="762"/>
      <c r="Q96" s="762"/>
      <c r="R96" s="762"/>
      <c r="S96" s="762"/>
      <c r="T96" s="762"/>
      <c r="U96" s="762"/>
      <c r="V96" s="762"/>
      <c r="W96" s="762"/>
      <c r="X96" s="762"/>
      <c r="Y96" s="763"/>
    </row>
    <row r="97" spans="1:25" s="149" customFormat="1" ht="23.1" customHeight="1">
      <c r="A97" s="597"/>
      <c r="B97" s="905"/>
      <c r="C97" s="350" t="s">
        <v>500</v>
      </c>
      <c r="D97" s="349"/>
      <c r="E97" s="116"/>
      <c r="F97" s="116"/>
      <c r="G97" s="116"/>
      <c r="H97" s="116"/>
      <c r="I97" s="116"/>
      <c r="J97" s="904"/>
      <c r="K97" s="597"/>
      <c r="L97" s="761"/>
      <c r="M97" s="762"/>
      <c r="N97" s="762"/>
      <c r="O97" s="762"/>
      <c r="P97" s="762"/>
      <c r="Q97" s="762"/>
      <c r="R97" s="762"/>
      <c r="S97" s="762"/>
      <c r="T97" s="762"/>
      <c r="U97" s="762"/>
      <c r="V97" s="762"/>
      <c r="W97" s="762"/>
      <c r="X97" s="762"/>
      <c r="Y97" s="763"/>
    </row>
    <row r="98" spans="1:25" s="149" customFormat="1" ht="23.1" customHeight="1">
      <c r="A98" s="597"/>
      <c r="B98" s="905"/>
      <c r="C98" s="350" t="s">
        <v>501</v>
      </c>
      <c r="D98" s="349"/>
      <c r="E98" s="116"/>
      <c r="F98" s="116"/>
      <c r="G98" s="116"/>
      <c r="H98" s="116"/>
      <c r="I98" s="116"/>
      <c r="J98" s="904"/>
      <c r="K98" s="597"/>
      <c r="L98" s="761"/>
      <c r="M98" s="762"/>
      <c r="N98" s="762"/>
      <c r="O98" s="762"/>
      <c r="P98" s="762"/>
      <c r="Q98" s="762"/>
      <c r="R98" s="762"/>
      <c r="S98" s="762"/>
      <c r="T98" s="762"/>
      <c r="U98" s="762"/>
      <c r="V98" s="762"/>
      <c r="W98" s="762"/>
      <c r="X98" s="762"/>
      <c r="Y98" s="763"/>
    </row>
    <row r="99" spans="1:25" ht="23.1" customHeight="1" thickBot="1">
      <c r="B99" s="83"/>
      <c r="C99" s="1228"/>
      <c r="D99" s="1228"/>
      <c r="E99" s="1228"/>
      <c r="F99" s="1228"/>
      <c r="G99" s="33"/>
      <c r="H99" s="33"/>
      <c r="I99" s="33"/>
      <c r="J99" s="85"/>
      <c r="L99" s="764"/>
      <c r="M99" s="765"/>
      <c r="N99" s="765"/>
      <c r="O99" s="765"/>
      <c r="P99" s="765"/>
      <c r="Q99" s="765"/>
      <c r="R99" s="765"/>
      <c r="S99" s="765"/>
      <c r="T99" s="765"/>
      <c r="U99" s="765"/>
      <c r="V99" s="765"/>
      <c r="W99" s="765"/>
      <c r="X99" s="765"/>
      <c r="Y99" s="766"/>
    </row>
    <row r="100" spans="1:25" ht="23.1" customHeight="1">
      <c r="K100" s="65" t="s">
        <v>248</v>
      </c>
    </row>
    <row r="101" spans="1:25" ht="12.75">
      <c r="C101" s="86" t="s">
        <v>98</v>
      </c>
      <c r="I101" s="22" t="s">
        <v>502</v>
      </c>
    </row>
    <row r="102" spans="1:25" ht="12.75">
      <c r="C102" s="86" t="s">
        <v>100</v>
      </c>
    </row>
    <row r="103" spans="1:25" ht="12.75">
      <c r="C103" s="86" t="s">
        <v>101</v>
      </c>
    </row>
    <row r="104" spans="1:25" ht="12.75">
      <c r="C104" s="86" t="s">
        <v>102</v>
      </c>
    </row>
    <row r="105" spans="1:25" ht="12.75">
      <c r="C105" s="86" t="s">
        <v>103</v>
      </c>
    </row>
  </sheetData>
  <sheetProtection sheet="1" insertRows="0"/>
  <mergeCells count="78">
    <mergeCell ref="F78:I78"/>
    <mergeCell ref="F79:I79"/>
    <mergeCell ref="F80:I80"/>
    <mergeCell ref="F81:I81"/>
    <mergeCell ref="F82:I82"/>
    <mergeCell ref="F69:I69"/>
    <mergeCell ref="F73:I73"/>
    <mergeCell ref="F74:I74"/>
    <mergeCell ref="F71:I72"/>
    <mergeCell ref="F66:I67"/>
    <mergeCell ref="G91:I91"/>
    <mergeCell ref="G92:I92"/>
    <mergeCell ref="D9:I9"/>
    <mergeCell ref="F83:I83"/>
    <mergeCell ref="F84:I84"/>
    <mergeCell ref="F85:I85"/>
    <mergeCell ref="G89:I89"/>
    <mergeCell ref="G90:I90"/>
    <mergeCell ref="F59:I59"/>
    <mergeCell ref="F60:I60"/>
    <mergeCell ref="F75:I75"/>
    <mergeCell ref="F76:I76"/>
    <mergeCell ref="F77:I77"/>
    <mergeCell ref="F61:I61"/>
    <mergeCell ref="F62:I62"/>
    <mergeCell ref="F63:I63"/>
    <mergeCell ref="F64:I64"/>
    <mergeCell ref="F68:I68"/>
    <mergeCell ref="F53:I53"/>
    <mergeCell ref="F54:I54"/>
    <mergeCell ref="F55:I55"/>
    <mergeCell ref="F56:I56"/>
    <mergeCell ref="F57:I57"/>
    <mergeCell ref="F58:I58"/>
    <mergeCell ref="F48:I48"/>
    <mergeCell ref="F49:I49"/>
    <mergeCell ref="F50:I50"/>
    <mergeCell ref="F45:I46"/>
    <mergeCell ref="F51:I51"/>
    <mergeCell ref="F52:I52"/>
    <mergeCell ref="G39:I39"/>
    <mergeCell ref="G40:I40"/>
    <mergeCell ref="G41:I41"/>
    <mergeCell ref="G42:I42"/>
    <mergeCell ref="G43:I43"/>
    <mergeCell ref="F47:I47"/>
    <mergeCell ref="G33:I33"/>
    <mergeCell ref="G34:I34"/>
    <mergeCell ref="G35:I35"/>
    <mergeCell ref="G36:I36"/>
    <mergeCell ref="G37:I37"/>
    <mergeCell ref="G38:I38"/>
    <mergeCell ref="G15:I15"/>
    <mergeCell ref="G16:I16"/>
    <mergeCell ref="G17:I17"/>
    <mergeCell ref="G18:I18"/>
    <mergeCell ref="G19:I19"/>
    <mergeCell ref="G28:I28"/>
    <mergeCell ref="G87:I88"/>
    <mergeCell ref="G20:I20"/>
    <mergeCell ref="G21:I21"/>
    <mergeCell ref="G22:I22"/>
    <mergeCell ref="G23:I23"/>
    <mergeCell ref="G24:I24"/>
    <mergeCell ref="G29:I29"/>
    <mergeCell ref="G30:I30"/>
    <mergeCell ref="G31:I31"/>
    <mergeCell ref="G32:I32"/>
    <mergeCell ref="G25:I25"/>
    <mergeCell ref="G26:I26"/>
    <mergeCell ref="G27:I27"/>
    <mergeCell ref="C99:F99"/>
    <mergeCell ref="I6:I7"/>
    <mergeCell ref="C12:D12"/>
    <mergeCell ref="C87:D88"/>
    <mergeCell ref="C90:D90"/>
    <mergeCell ref="C91:D91"/>
    <mergeCell ref="C92:D92"/>
  </mergeCells>
  <phoneticPr fontId="5" type="noConversion"/>
  <printOptions horizontalCentered="1" verticalCentered="1"/>
  <pageMargins left="0.36000000000000004" right="0.36000000000000004" top="0.6100000000000001" bottom="0.6100000000000001" header="0.5" footer="0.5"/>
  <pageSetup paperSize="9" scale="30" orientation="portrait" horizontalDpi="4294967292" verticalDpi="4294967292" r:id="rId1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0FBF3EE-D24D-4BC8-A88B-878698D92A1A}">
  <sheetPr codeName="Hoja7">
    <pageSetUpPr fitToPage="1"/>
  </sheetPr>
  <dimension ref="A2:X104"/>
  <sheetViews>
    <sheetView topLeftCell="A63" zoomScaleNormal="100" workbookViewId="0">
      <selection activeCell="G76" sqref="G76"/>
    </sheetView>
  </sheetViews>
  <sheetFormatPr baseColWidth="10" defaultColWidth="10.6640625" defaultRowHeight="23.1" customHeight="1"/>
  <cols>
    <col min="1" max="1" width="4.109375" style="23" bestFit="1" customWidth="1"/>
    <col min="2" max="2" width="3.109375" style="23" customWidth="1"/>
    <col min="3" max="3" width="13.5546875" style="23" customWidth="1"/>
    <col min="4" max="4" width="76.6640625" style="23" customWidth="1"/>
    <col min="5" max="8" width="18.33203125" style="23" customWidth="1"/>
    <col min="9" max="9" width="3.33203125" style="23" customWidth="1"/>
    <col min="10" max="16384" width="10.6640625" style="23"/>
  </cols>
  <sheetData>
    <row r="2" spans="1:24" ht="23.1" customHeight="1">
      <c r="D2" s="391" t="str">
        <f>_GENERAL!D2</f>
        <v>Área de la Presidenta: Igualdad y Diversidad, Hacienda y Proyectos Estratégicos</v>
      </c>
    </row>
    <row r="3" spans="1:24" ht="23.1" customHeight="1">
      <c r="D3" s="391" t="str">
        <f>_GENERAL!D3</f>
        <v>Dirección Insular de Hacienda</v>
      </c>
    </row>
    <row r="4" spans="1:24" ht="23.1" customHeight="1" thickBot="1">
      <c r="A4" s="23" t="s">
        <v>195</v>
      </c>
    </row>
    <row r="5" spans="1:24" ht="9" customHeight="1">
      <c r="B5" s="25"/>
      <c r="C5" s="26"/>
      <c r="D5" s="26"/>
      <c r="E5" s="26"/>
      <c r="F5" s="26"/>
      <c r="G5" s="26"/>
      <c r="H5" s="26"/>
      <c r="I5" s="27"/>
      <c r="K5" s="746"/>
      <c r="L5" s="747"/>
      <c r="M5" s="747"/>
      <c r="N5" s="747"/>
      <c r="O5" s="747"/>
      <c r="P5" s="747"/>
      <c r="Q5" s="747"/>
      <c r="R5" s="747"/>
      <c r="S5" s="747"/>
      <c r="T5" s="747"/>
      <c r="U5" s="747"/>
      <c r="V5" s="747"/>
      <c r="W5" s="747"/>
      <c r="X5" s="748"/>
    </row>
    <row r="6" spans="1:24" ht="30" customHeight="1">
      <c r="B6" s="28"/>
      <c r="C6" s="1" t="s">
        <v>2</v>
      </c>
      <c r="H6" s="1212">
        <f>ejercicio</f>
        <v>2025</v>
      </c>
      <c r="I6" s="30"/>
      <c r="K6" s="751"/>
      <c r="L6" s="752"/>
      <c r="M6" s="752"/>
      <c r="N6" s="752"/>
      <c r="O6" s="752"/>
      <c r="P6" s="752"/>
      <c r="Q6" s="752"/>
      <c r="R6" s="752"/>
      <c r="S6" s="752"/>
      <c r="T6" s="752"/>
      <c r="U6" s="752"/>
      <c r="V6" s="752"/>
      <c r="W6" s="752"/>
      <c r="X6" s="753"/>
    </row>
    <row r="7" spans="1:24" ht="30" customHeight="1">
      <c r="B7" s="28"/>
      <c r="C7" s="1" t="s">
        <v>3</v>
      </c>
      <c r="H7" s="1212"/>
      <c r="I7" s="30"/>
      <c r="K7" s="754"/>
      <c r="L7" s="755" t="s">
        <v>196</v>
      </c>
      <c r="M7" s="756"/>
      <c r="N7" s="756"/>
      <c r="O7" s="756"/>
      <c r="P7" s="756"/>
      <c r="Q7" s="756"/>
      <c r="R7" s="756"/>
      <c r="S7" s="756"/>
      <c r="T7" s="756"/>
      <c r="U7" s="756"/>
      <c r="V7" s="756"/>
      <c r="W7" s="756"/>
      <c r="X7" s="757"/>
    </row>
    <row r="8" spans="1:24" ht="30" customHeight="1">
      <c r="B8" s="28"/>
      <c r="C8" s="29"/>
      <c r="H8" s="31"/>
      <c r="I8" s="30"/>
      <c r="K8" s="754"/>
      <c r="L8" s="756"/>
      <c r="M8" s="756"/>
      <c r="N8" s="756"/>
      <c r="O8" s="756"/>
      <c r="P8" s="756"/>
      <c r="Q8" s="756"/>
      <c r="R8" s="756"/>
      <c r="S8" s="756"/>
      <c r="T8" s="756"/>
      <c r="U8" s="756"/>
      <c r="V8" s="756"/>
      <c r="W8" s="756"/>
      <c r="X8" s="757"/>
    </row>
    <row r="9" spans="1:24" s="36" customFormat="1" ht="30" customHeight="1">
      <c r="A9" s="412"/>
      <c r="B9" s="874"/>
      <c r="C9" s="20" t="s">
        <v>105</v>
      </c>
      <c r="D9" s="1229" t="str">
        <f>Entidad</f>
        <v>(MERCATENERIFE) Mercados Centrales de Abastecimiento de Tenerife, S.A.</v>
      </c>
      <c r="E9" s="1229"/>
      <c r="F9" s="1229"/>
      <c r="G9" s="1229"/>
      <c r="H9" s="1229"/>
      <c r="I9" s="875"/>
      <c r="J9" s="412"/>
      <c r="K9" s="751"/>
      <c r="L9" s="752"/>
      <c r="M9" s="752"/>
      <c r="N9" s="752"/>
      <c r="O9" s="752"/>
      <c r="P9" s="752"/>
      <c r="Q9" s="752"/>
      <c r="R9" s="752"/>
      <c r="S9" s="752"/>
      <c r="T9" s="752"/>
      <c r="U9" s="752"/>
      <c r="V9" s="752"/>
      <c r="W9" s="752"/>
      <c r="X9" s="753"/>
    </row>
    <row r="10" spans="1:24" ht="6.95" customHeight="1">
      <c r="B10" s="28"/>
      <c r="I10" s="30"/>
      <c r="K10" s="751"/>
      <c r="L10" s="752"/>
      <c r="M10" s="752"/>
      <c r="N10" s="752"/>
      <c r="O10" s="752"/>
      <c r="P10" s="752"/>
      <c r="Q10" s="752"/>
      <c r="R10" s="752"/>
      <c r="S10" s="752"/>
      <c r="T10" s="752"/>
      <c r="U10" s="752"/>
      <c r="V10" s="752"/>
      <c r="W10" s="752"/>
      <c r="X10" s="753"/>
    </row>
    <row r="11" spans="1:24" s="38" customFormat="1" ht="30" customHeight="1">
      <c r="B11" s="10"/>
      <c r="C11" s="4" t="s">
        <v>503</v>
      </c>
      <c r="D11" s="4"/>
      <c r="E11" s="4"/>
      <c r="F11" s="4"/>
      <c r="G11" s="4"/>
      <c r="H11" s="4"/>
      <c r="I11" s="37"/>
      <c r="K11" s="751"/>
      <c r="L11" s="752"/>
      <c r="M11" s="752"/>
      <c r="N11" s="752"/>
      <c r="O11" s="752"/>
      <c r="P11" s="752"/>
      <c r="Q11" s="752"/>
      <c r="R11" s="752"/>
      <c r="S11" s="752"/>
      <c r="T11" s="752"/>
      <c r="U11" s="752"/>
      <c r="V11" s="752"/>
      <c r="W11" s="752"/>
      <c r="X11" s="753"/>
    </row>
    <row r="12" spans="1:24" s="38" customFormat="1" ht="30" customHeight="1">
      <c r="B12" s="10"/>
      <c r="I12" s="37"/>
      <c r="K12" s="751"/>
      <c r="L12" s="752"/>
      <c r="M12" s="752"/>
      <c r="N12" s="752"/>
      <c r="O12" s="752"/>
      <c r="P12" s="752"/>
      <c r="Q12" s="752"/>
      <c r="R12" s="752"/>
      <c r="S12" s="752"/>
      <c r="T12" s="752"/>
      <c r="U12" s="752"/>
      <c r="V12" s="752"/>
      <c r="W12" s="752"/>
      <c r="X12" s="753"/>
    </row>
    <row r="13" spans="1:24" ht="23.1" customHeight="1">
      <c r="B13" s="28"/>
      <c r="C13" s="215"/>
      <c r="D13" s="216"/>
      <c r="E13" s="217" t="s">
        <v>322</v>
      </c>
      <c r="F13" s="716" t="s">
        <v>323</v>
      </c>
      <c r="G13" s="218" t="s">
        <v>324</v>
      </c>
      <c r="H13" s="219" t="s">
        <v>325</v>
      </c>
      <c r="I13" s="30"/>
      <c r="K13" s="751"/>
      <c r="L13" s="752"/>
      <c r="M13" s="752"/>
      <c r="N13" s="752"/>
      <c r="O13" s="752"/>
      <c r="P13" s="752"/>
      <c r="Q13" s="752"/>
      <c r="R13" s="752"/>
      <c r="S13" s="752"/>
      <c r="T13" s="752"/>
      <c r="U13" s="752"/>
      <c r="V13" s="752"/>
      <c r="W13" s="752"/>
      <c r="X13" s="753"/>
    </row>
    <row r="14" spans="1:24" ht="23.1" customHeight="1">
      <c r="B14" s="28"/>
      <c r="C14" s="220" t="s">
        <v>504</v>
      </c>
      <c r="D14" s="41"/>
      <c r="E14" s="203">
        <f>ejercicio-2</f>
        <v>2023</v>
      </c>
      <c r="F14" s="717">
        <f>ejercicio-1</f>
        <v>2024</v>
      </c>
      <c r="G14" s="209">
        <f>ejercicio-1</f>
        <v>2024</v>
      </c>
      <c r="H14" s="202">
        <f>ejercicio</f>
        <v>2025</v>
      </c>
      <c r="I14" s="30"/>
      <c r="K14" s="751"/>
      <c r="L14" s="752"/>
      <c r="M14" s="752"/>
      <c r="N14" s="752"/>
      <c r="O14" s="752"/>
      <c r="P14" s="752"/>
      <c r="Q14" s="752"/>
      <c r="R14" s="752"/>
      <c r="S14" s="752"/>
      <c r="T14" s="752"/>
      <c r="U14" s="752"/>
      <c r="V14" s="752"/>
      <c r="W14" s="752"/>
      <c r="X14" s="753"/>
    </row>
    <row r="15" spans="1:24" ht="23.1" customHeight="1">
      <c r="B15" s="28"/>
      <c r="C15" s="221"/>
      <c r="D15" s="55"/>
      <c r="E15" s="204"/>
      <c r="F15" s="718"/>
      <c r="G15" s="210"/>
      <c r="H15" s="222"/>
      <c r="I15" s="30"/>
      <c r="K15" s="751"/>
      <c r="L15" s="752"/>
      <c r="M15" s="752"/>
      <c r="N15" s="752"/>
      <c r="O15" s="752"/>
      <c r="P15" s="752"/>
      <c r="Q15" s="752"/>
      <c r="R15" s="752"/>
      <c r="S15" s="752"/>
      <c r="T15" s="752"/>
      <c r="U15" s="752"/>
      <c r="V15" s="752"/>
      <c r="W15" s="752"/>
      <c r="X15" s="753"/>
    </row>
    <row r="16" spans="1:24" ht="23.1" customHeight="1">
      <c r="B16" s="28"/>
      <c r="C16" s="223" t="s">
        <v>505</v>
      </c>
      <c r="D16" s="53" t="s">
        <v>506</v>
      </c>
      <c r="E16" s="205">
        <f>E17+E26+E30+E33+E40+E47+E48</f>
        <v>20932162.430000003</v>
      </c>
      <c r="F16" s="205">
        <f>F17+F26+F30+F33+F40+F47+F48</f>
        <v>21791365.329999998</v>
      </c>
      <c r="G16" s="211">
        <f>G17+G26+G30+G33+G40+G47+G48</f>
        <v>21707004.070000004</v>
      </c>
      <c r="H16" s="224">
        <f>H17+H26+H30+H33+H40+H47+H48</f>
        <v>25617828.230000004</v>
      </c>
      <c r="I16" s="30"/>
      <c r="K16" s="751"/>
      <c r="L16" s="752"/>
      <c r="M16" s="752"/>
      <c r="N16" s="752"/>
      <c r="O16" s="752"/>
      <c r="P16" s="752"/>
      <c r="Q16" s="752"/>
      <c r="R16" s="752"/>
      <c r="S16" s="752"/>
      <c r="T16" s="752"/>
      <c r="U16" s="752"/>
      <c r="V16" s="752"/>
      <c r="W16" s="752"/>
      <c r="X16" s="753"/>
    </row>
    <row r="17" spans="2:24" ht="23.1" customHeight="1">
      <c r="B17" s="28"/>
      <c r="C17" s="225" t="s">
        <v>507</v>
      </c>
      <c r="D17" s="43" t="s">
        <v>508</v>
      </c>
      <c r="E17" s="206">
        <f>SUM(E18:E25)</f>
        <v>96.8</v>
      </c>
      <c r="F17" s="206">
        <f>SUM(F18:F25)</f>
        <v>62763.22</v>
      </c>
      <c r="G17" s="212">
        <f>SUM(G18:G25)</f>
        <v>50196.800000000003</v>
      </c>
      <c r="H17" s="226">
        <f>SUM(H18:H25)</f>
        <v>40296.800000000003</v>
      </c>
      <c r="I17" s="30"/>
      <c r="K17" s="751"/>
      <c r="L17" s="752"/>
      <c r="M17" s="752"/>
      <c r="N17" s="752"/>
      <c r="O17" s="752"/>
      <c r="P17" s="752"/>
      <c r="Q17" s="752"/>
      <c r="R17" s="752"/>
      <c r="S17" s="752"/>
      <c r="T17" s="752"/>
      <c r="U17" s="752"/>
      <c r="V17" s="752"/>
      <c r="W17" s="752"/>
      <c r="X17" s="753"/>
    </row>
    <row r="18" spans="2:24" ht="23.1" customHeight="1">
      <c r="B18" s="28"/>
      <c r="C18" s="894" t="s">
        <v>328</v>
      </c>
      <c r="D18" s="629" t="s">
        <v>509</v>
      </c>
      <c r="E18" s="937"/>
      <c r="F18" s="937"/>
      <c r="G18" s="938"/>
      <c r="H18" s="939"/>
      <c r="I18" s="30"/>
      <c r="K18" s="751"/>
      <c r="L18" s="752"/>
      <c r="M18" s="752"/>
      <c r="N18" s="752"/>
      <c r="O18" s="752"/>
      <c r="P18" s="752"/>
      <c r="Q18" s="752"/>
      <c r="R18" s="752"/>
      <c r="S18" s="752"/>
      <c r="T18" s="752"/>
      <c r="U18" s="752"/>
      <c r="V18" s="752"/>
      <c r="W18" s="752"/>
      <c r="X18" s="753"/>
    </row>
    <row r="19" spans="2:24" ht="23.1" customHeight="1">
      <c r="B19" s="28"/>
      <c r="C19" s="895" t="s">
        <v>336</v>
      </c>
      <c r="D19" s="630" t="s">
        <v>510</v>
      </c>
      <c r="E19" s="940"/>
      <c r="F19" s="940"/>
      <c r="G19" s="941"/>
      <c r="H19" s="942"/>
      <c r="I19" s="30"/>
      <c r="K19" s="751"/>
      <c r="L19" s="752"/>
      <c r="M19" s="752"/>
      <c r="N19" s="752"/>
      <c r="O19" s="752"/>
      <c r="P19" s="752"/>
      <c r="Q19" s="752"/>
      <c r="R19" s="752"/>
      <c r="S19" s="752"/>
      <c r="T19" s="752"/>
      <c r="U19" s="752"/>
      <c r="V19" s="752"/>
      <c r="W19" s="752"/>
      <c r="X19" s="753"/>
    </row>
    <row r="20" spans="2:24" ht="23.1" customHeight="1">
      <c r="B20" s="28"/>
      <c r="C20" s="895" t="s">
        <v>338</v>
      </c>
      <c r="D20" s="630" t="s">
        <v>511</v>
      </c>
      <c r="E20" s="940"/>
      <c r="F20" s="940"/>
      <c r="G20" s="941"/>
      <c r="H20" s="942"/>
      <c r="I20" s="30"/>
      <c r="K20" s="751"/>
      <c r="L20" s="752"/>
      <c r="M20" s="752"/>
      <c r="N20" s="752"/>
      <c r="O20" s="752"/>
      <c r="P20" s="752"/>
      <c r="Q20" s="752"/>
      <c r="R20" s="752"/>
      <c r="S20" s="752"/>
      <c r="T20" s="752"/>
      <c r="U20" s="752"/>
      <c r="V20" s="752"/>
      <c r="W20" s="752"/>
      <c r="X20" s="753"/>
    </row>
    <row r="21" spans="2:24" ht="23.1" customHeight="1">
      <c r="B21" s="28"/>
      <c r="C21" s="895" t="s">
        <v>340</v>
      </c>
      <c r="D21" s="630" t="s">
        <v>512</v>
      </c>
      <c r="E21" s="940"/>
      <c r="F21" s="940"/>
      <c r="G21" s="941"/>
      <c r="H21" s="942"/>
      <c r="I21" s="30"/>
      <c r="K21" s="751"/>
      <c r="L21" s="752"/>
      <c r="M21" s="752"/>
      <c r="N21" s="752"/>
      <c r="O21" s="752"/>
      <c r="P21" s="752"/>
      <c r="Q21" s="752"/>
      <c r="R21" s="752"/>
      <c r="S21" s="752"/>
      <c r="T21" s="752"/>
      <c r="U21" s="752"/>
      <c r="V21" s="752"/>
      <c r="W21" s="752"/>
      <c r="X21" s="753"/>
    </row>
    <row r="22" spans="2:24" ht="23.1" customHeight="1">
      <c r="B22" s="28"/>
      <c r="C22" s="895" t="s">
        <v>513</v>
      </c>
      <c r="D22" s="630" t="s">
        <v>514</v>
      </c>
      <c r="E22" s="940">
        <v>96.8</v>
      </c>
      <c r="F22" s="940">
        <v>62763.22</v>
      </c>
      <c r="G22" s="941">
        <f>+'FC-7_INF'!M15</f>
        <v>50196.800000000003</v>
      </c>
      <c r="H22" s="942">
        <f>+'FC-7_INF'!M26</f>
        <v>40296.800000000003</v>
      </c>
      <c r="I22" s="30"/>
      <c r="K22" s="751"/>
      <c r="L22" s="752"/>
      <c r="M22" s="752"/>
      <c r="N22" s="752"/>
      <c r="O22" s="752"/>
      <c r="P22" s="752"/>
      <c r="Q22" s="752"/>
      <c r="R22" s="752"/>
      <c r="S22" s="752"/>
      <c r="T22" s="752"/>
      <c r="U22" s="752"/>
      <c r="V22" s="752"/>
      <c r="W22" s="752"/>
      <c r="X22" s="753"/>
    </row>
    <row r="23" spans="2:24" ht="23.1" customHeight="1">
      <c r="B23" s="28"/>
      <c r="C23" s="895" t="s">
        <v>351</v>
      </c>
      <c r="D23" s="630" t="s">
        <v>515</v>
      </c>
      <c r="E23" s="940"/>
      <c r="F23" s="940"/>
      <c r="G23" s="941"/>
      <c r="H23" s="942"/>
      <c r="I23" s="30"/>
      <c r="K23" s="751"/>
      <c r="L23" s="752"/>
      <c r="M23" s="752"/>
      <c r="N23" s="752"/>
      <c r="O23" s="752"/>
      <c r="P23" s="752"/>
      <c r="Q23" s="752"/>
      <c r="R23" s="752"/>
      <c r="S23" s="752"/>
      <c r="T23" s="752"/>
      <c r="U23" s="752"/>
      <c r="V23" s="752"/>
      <c r="W23" s="752"/>
      <c r="X23" s="753"/>
    </row>
    <row r="24" spans="2:24" ht="23.1" customHeight="1">
      <c r="B24" s="28"/>
      <c r="C24" s="895" t="s">
        <v>359</v>
      </c>
      <c r="D24" s="630" t="s">
        <v>516</v>
      </c>
      <c r="E24" s="940"/>
      <c r="F24" s="940"/>
      <c r="G24" s="941"/>
      <c r="H24" s="942"/>
      <c r="I24" s="30"/>
      <c r="K24" s="751"/>
      <c r="L24" s="752"/>
      <c r="M24" s="752"/>
      <c r="N24" s="752"/>
      <c r="O24" s="752"/>
      <c r="P24" s="752"/>
      <c r="Q24" s="752"/>
      <c r="R24" s="752"/>
      <c r="S24" s="752"/>
      <c r="T24" s="752"/>
      <c r="U24" s="752"/>
      <c r="V24" s="752"/>
      <c r="W24" s="752"/>
      <c r="X24" s="753"/>
    </row>
    <row r="25" spans="2:24" ht="23.1" customHeight="1">
      <c r="B25" s="28"/>
      <c r="C25" s="895" t="s">
        <v>367</v>
      </c>
      <c r="D25" s="630" t="s">
        <v>517</v>
      </c>
      <c r="E25" s="940"/>
      <c r="F25" s="940"/>
      <c r="G25" s="941"/>
      <c r="H25" s="942"/>
      <c r="I25" s="30"/>
      <c r="K25" s="751"/>
      <c r="L25" s="752"/>
      <c r="M25" s="752"/>
      <c r="N25" s="752"/>
      <c r="O25" s="752"/>
      <c r="P25" s="752"/>
      <c r="Q25" s="752"/>
      <c r="R25" s="752"/>
      <c r="S25" s="752"/>
      <c r="T25" s="752"/>
      <c r="U25" s="752"/>
      <c r="V25" s="752"/>
      <c r="W25" s="752"/>
      <c r="X25" s="753"/>
    </row>
    <row r="26" spans="2:24" ht="23.1" customHeight="1">
      <c r="B26" s="28"/>
      <c r="C26" s="225" t="s">
        <v>518</v>
      </c>
      <c r="D26" s="43" t="s">
        <v>519</v>
      </c>
      <c r="E26" s="206">
        <f>SUM(E27:E29)</f>
        <v>20170177.000000004</v>
      </c>
      <c r="F26" s="206">
        <f>SUM(F27:F29)</f>
        <v>21000713.68</v>
      </c>
      <c r="G26" s="212">
        <f>SUM(G27:G29)</f>
        <v>20928918.840000004</v>
      </c>
      <c r="H26" s="226">
        <f>SUM(H27:H29)</f>
        <v>24883643.200000003</v>
      </c>
      <c r="I26" s="30"/>
      <c r="K26" s="758"/>
      <c r="L26" s="759"/>
      <c r="M26" s="759"/>
      <c r="N26" s="759"/>
      <c r="O26" s="759"/>
      <c r="P26" s="759"/>
      <c r="Q26" s="759"/>
      <c r="R26" s="759"/>
      <c r="S26" s="759"/>
      <c r="T26" s="759"/>
      <c r="U26" s="759"/>
      <c r="V26" s="759"/>
      <c r="W26" s="759"/>
      <c r="X26" s="760"/>
    </row>
    <row r="27" spans="2:24" ht="23.1" customHeight="1">
      <c r="B27" s="28"/>
      <c r="C27" s="894" t="s">
        <v>328</v>
      </c>
      <c r="D27" s="629" t="s">
        <v>520</v>
      </c>
      <c r="E27" s="937">
        <f>2397869.96+17441583.37</f>
        <v>19839453.330000002</v>
      </c>
      <c r="F27" s="937">
        <v>19501739.149999999</v>
      </c>
      <c r="G27" s="938">
        <v>19747461.440000001</v>
      </c>
      <c r="H27" s="939">
        <v>22972247.98</v>
      </c>
      <c r="I27" s="30"/>
      <c r="K27" s="1209">
        <f>+F27-H27</f>
        <v>-3470508.8300000019</v>
      </c>
      <c r="L27" s="759"/>
      <c r="M27" s="759"/>
      <c r="N27" s="759"/>
      <c r="O27" s="759"/>
      <c r="P27" s="759"/>
      <c r="Q27" s="759"/>
      <c r="R27" s="759"/>
      <c r="S27" s="759"/>
      <c r="T27" s="759"/>
      <c r="U27" s="759"/>
      <c r="V27" s="759"/>
      <c r="W27" s="759"/>
      <c r="X27" s="760"/>
    </row>
    <row r="28" spans="2:24" ht="23.1" customHeight="1">
      <c r="B28" s="28"/>
      <c r="C28" s="895" t="s">
        <v>336</v>
      </c>
      <c r="D28" s="630" t="s">
        <v>521</v>
      </c>
      <c r="E28" s="940">
        <v>317322.46000000002</v>
      </c>
      <c r="F28" s="940">
        <v>1498974.53</v>
      </c>
      <c r="G28" s="941">
        <v>1168056.19</v>
      </c>
      <c r="H28" s="942">
        <v>1897994.01</v>
      </c>
      <c r="I28" s="30"/>
      <c r="K28" s="751"/>
      <c r="L28" s="752"/>
      <c r="M28" s="752"/>
      <c r="N28" s="752"/>
      <c r="O28" s="752"/>
      <c r="P28" s="752"/>
      <c r="Q28" s="752"/>
      <c r="R28" s="752"/>
      <c r="S28" s="752"/>
      <c r="T28" s="752"/>
      <c r="U28" s="752"/>
      <c r="V28" s="752"/>
      <c r="W28" s="752"/>
      <c r="X28" s="753"/>
    </row>
    <row r="29" spans="2:24" ht="23.1" customHeight="1">
      <c r="B29" s="28"/>
      <c r="C29" s="895" t="s">
        <v>338</v>
      </c>
      <c r="D29" s="630" t="s">
        <v>522</v>
      </c>
      <c r="E29" s="940">
        <v>13401.21</v>
      </c>
      <c r="F29" s="940"/>
      <c r="G29" s="941">
        <v>13401.21</v>
      </c>
      <c r="H29" s="942">
        <v>13401.21</v>
      </c>
      <c r="I29" s="30"/>
      <c r="K29" s="751"/>
      <c r="L29" s="752"/>
      <c r="M29" s="752"/>
      <c r="N29" s="752"/>
      <c r="O29" s="752"/>
      <c r="P29" s="752"/>
      <c r="Q29" s="752"/>
      <c r="R29" s="752"/>
      <c r="S29" s="752"/>
      <c r="T29" s="752"/>
      <c r="U29" s="752"/>
      <c r="V29" s="752"/>
      <c r="W29" s="752"/>
      <c r="X29" s="753"/>
    </row>
    <row r="30" spans="2:24" ht="23.1" customHeight="1">
      <c r="B30" s="28"/>
      <c r="C30" s="225" t="s">
        <v>523</v>
      </c>
      <c r="D30" s="43" t="s">
        <v>524</v>
      </c>
      <c r="E30" s="206">
        <f>SUM(E31:E32)</f>
        <v>124322.78</v>
      </c>
      <c r="F30" s="206">
        <f>SUM(F31:F32)</f>
        <v>124322.78</v>
      </c>
      <c r="G30" s="212">
        <f>SUM(G31:G32)</f>
        <v>124322.78</v>
      </c>
      <c r="H30" s="226">
        <f>SUM(H31:H32)</f>
        <v>124322.78</v>
      </c>
      <c r="I30" s="30"/>
      <c r="K30" s="751"/>
      <c r="L30" s="752"/>
      <c r="M30" s="752"/>
      <c r="N30" s="752"/>
      <c r="O30" s="752"/>
      <c r="P30" s="752"/>
      <c r="Q30" s="752"/>
      <c r="R30" s="752"/>
      <c r="S30" s="752"/>
      <c r="T30" s="752"/>
      <c r="U30" s="752"/>
      <c r="V30" s="752"/>
      <c r="W30" s="752"/>
      <c r="X30" s="753"/>
    </row>
    <row r="31" spans="2:24" ht="23.1" customHeight="1">
      <c r="B31" s="28"/>
      <c r="C31" s="894" t="s">
        <v>328</v>
      </c>
      <c r="D31" s="629" t="s">
        <v>525</v>
      </c>
      <c r="E31" s="937">
        <v>124322.78</v>
      </c>
      <c r="F31" s="937">
        <v>124322.78</v>
      </c>
      <c r="G31" s="938">
        <v>124322.78</v>
      </c>
      <c r="H31" s="939">
        <v>124322.78</v>
      </c>
      <c r="I31" s="30"/>
      <c r="K31" s="751"/>
      <c r="L31" s="752"/>
      <c r="M31" s="752"/>
      <c r="N31" s="752"/>
      <c r="O31" s="752"/>
      <c r="P31" s="752"/>
      <c r="Q31" s="752"/>
      <c r="R31" s="752"/>
      <c r="S31" s="752"/>
      <c r="T31" s="752"/>
      <c r="U31" s="752"/>
      <c r="V31" s="752"/>
      <c r="W31" s="752"/>
      <c r="X31" s="753"/>
    </row>
    <row r="32" spans="2:24" ht="23.1" customHeight="1">
      <c r="B32" s="28"/>
      <c r="C32" s="895" t="s">
        <v>336</v>
      </c>
      <c r="D32" s="630" t="s">
        <v>526</v>
      </c>
      <c r="E32" s="940"/>
      <c r="F32" s="940"/>
      <c r="G32" s="941"/>
      <c r="H32" s="942"/>
      <c r="I32" s="30"/>
      <c r="K32" s="761"/>
      <c r="L32" s="762"/>
      <c r="M32" s="762"/>
      <c r="N32" s="762"/>
      <c r="O32" s="762"/>
      <c r="P32" s="762"/>
      <c r="Q32" s="762"/>
      <c r="R32" s="762"/>
      <c r="S32" s="762"/>
      <c r="T32" s="762"/>
      <c r="U32" s="762"/>
      <c r="V32" s="762"/>
      <c r="W32" s="762"/>
      <c r="X32" s="763"/>
    </row>
    <row r="33" spans="2:24" ht="23.1" customHeight="1">
      <c r="B33" s="28"/>
      <c r="C33" s="225" t="s">
        <v>527</v>
      </c>
      <c r="D33" s="43" t="s">
        <v>528</v>
      </c>
      <c r="E33" s="206">
        <f>SUM(E34:E39)</f>
        <v>0</v>
      </c>
      <c r="F33" s="206">
        <f>SUM(F34:F39)</f>
        <v>0</v>
      </c>
      <c r="G33" s="212">
        <f>SUM(G34:G39)</f>
        <v>0</v>
      </c>
      <c r="H33" s="226">
        <f>SUM(H34:H39)</f>
        <v>0</v>
      </c>
      <c r="I33" s="30"/>
      <c r="K33" s="761"/>
      <c r="L33" s="762"/>
      <c r="M33" s="762"/>
      <c r="N33" s="762"/>
      <c r="O33" s="762"/>
      <c r="P33" s="762"/>
      <c r="Q33" s="762"/>
      <c r="R33" s="762"/>
      <c r="S33" s="762"/>
      <c r="T33" s="762"/>
      <c r="U33" s="762"/>
      <c r="V33" s="762"/>
      <c r="W33" s="762"/>
      <c r="X33" s="763"/>
    </row>
    <row r="34" spans="2:24" ht="23.1" customHeight="1">
      <c r="B34" s="28"/>
      <c r="C34" s="894" t="s">
        <v>328</v>
      </c>
      <c r="D34" s="629" t="s">
        <v>529</v>
      </c>
      <c r="E34" s="937"/>
      <c r="F34" s="937"/>
      <c r="G34" s="938"/>
      <c r="H34" s="939"/>
      <c r="I34" s="30"/>
      <c r="K34" s="761"/>
      <c r="L34" s="762"/>
      <c r="M34" s="762"/>
      <c r="N34" s="762"/>
      <c r="O34" s="762"/>
      <c r="P34" s="762"/>
      <c r="Q34" s="762"/>
      <c r="R34" s="762"/>
      <c r="S34" s="762"/>
      <c r="T34" s="762"/>
      <c r="U34" s="762"/>
      <c r="V34" s="762"/>
      <c r="W34" s="762"/>
      <c r="X34" s="763"/>
    </row>
    <row r="35" spans="2:24" ht="23.1" customHeight="1">
      <c r="B35" s="28"/>
      <c r="C35" s="895" t="s">
        <v>336</v>
      </c>
      <c r="D35" s="630" t="s">
        <v>530</v>
      </c>
      <c r="E35" s="940"/>
      <c r="F35" s="940"/>
      <c r="G35" s="941"/>
      <c r="H35" s="942"/>
      <c r="I35" s="30"/>
      <c r="K35" s="761"/>
      <c r="L35" s="762"/>
      <c r="M35" s="762"/>
      <c r="N35" s="762"/>
      <c r="O35" s="762"/>
      <c r="P35" s="762"/>
      <c r="Q35" s="762"/>
      <c r="R35" s="762"/>
      <c r="S35" s="762"/>
      <c r="T35" s="762"/>
      <c r="U35" s="762"/>
      <c r="V35" s="762"/>
      <c r="W35" s="762"/>
      <c r="X35" s="763"/>
    </row>
    <row r="36" spans="2:24" ht="23.1" customHeight="1">
      <c r="B36" s="28"/>
      <c r="C36" s="895" t="s">
        <v>338</v>
      </c>
      <c r="D36" s="630" t="s">
        <v>531</v>
      </c>
      <c r="E36" s="940"/>
      <c r="F36" s="940"/>
      <c r="G36" s="941"/>
      <c r="H36" s="942"/>
      <c r="I36" s="30"/>
      <c r="K36" s="761"/>
      <c r="L36" s="762"/>
      <c r="M36" s="762"/>
      <c r="N36" s="762"/>
      <c r="O36" s="762"/>
      <c r="P36" s="762"/>
      <c r="Q36" s="762"/>
      <c r="R36" s="762"/>
      <c r="S36" s="762"/>
      <c r="T36" s="762"/>
      <c r="U36" s="762"/>
      <c r="V36" s="762"/>
      <c r="W36" s="762"/>
      <c r="X36" s="763"/>
    </row>
    <row r="37" spans="2:24" ht="23.1" customHeight="1">
      <c r="B37" s="28"/>
      <c r="C37" s="895" t="s">
        <v>340</v>
      </c>
      <c r="D37" s="630" t="s">
        <v>532</v>
      </c>
      <c r="E37" s="940"/>
      <c r="F37" s="940"/>
      <c r="G37" s="941"/>
      <c r="H37" s="942"/>
      <c r="I37" s="30"/>
      <c r="K37" s="761"/>
      <c r="L37" s="762"/>
      <c r="M37" s="762"/>
      <c r="N37" s="762"/>
      <c r="O37" s="762"/>
      <c r="P37" s="762"/>
      <c r="Q37" s="762"/>
      <c r="R37" s="762"/>
      <c r="S37" s="762"/>
      <c r="T37" s="762"/>
      <c r="U37" s="762"/>
      <c r="V37" s="762"/>
      <c r="W37" s="762"/>
      <c r="X37" s="763"/>
    </row>
    <row r="38" spans="2:24" ht="23.1" customHeight="1">
      <c r="B38" s="28"/>
      <c r="C38" s="895" t="s">
        <v>513</v>
      </c>
      <c r="D38" s="630" t="s">
        <v>533</v>
      </c>
      <c r="E38" s="940"/>
      <c r="F38" s="940"/>
      <c r="G38" s="941"/>
      <c r="H38" s="942"/>
      <c r="I38" s="30"/>
      <c r="K38" s="800"/>
      <c r="L38" s="762"/>
      <c r="M38" s="762"/>
      <c r="N38" s="762"/>
      <c r="O38" s="762"/>
      <c r="P38" s="762"/>
      <c r="Q38" s="762"/>
      <c r="R38" s="762"/>
      <c r="S38" s="762"/>
      <c r="T38" s="762"/>
      <c r="U38" s="762"/>
      <c r="V38" s="762"/>
      <c r="W38" s="762"/>
      <c r="X38" s="763"/>
    </row>
    <row r="39" spans="2:24" ht="23.1" customHeight="1">
      <c r="B39" s="28"/>
      <c r="C39" s="895" t="s">
        <v>351</v>
      </c>
      <c r="D39" s="630" t="s">
        <v>534</v>
      </c>
      <c r="E39" s="940"/>
      <c r="F39" s="940"/>
      <c r="G39" s="941"/>
      <c r="H39" s="942"/>
      <c r="I39" s="30"/>
      <c r="K39" s="761"/>
      <c r="L39" s="762"/>
      <c r="M39" s="762"/>
      <c r="N39" s="762"/>
      <c r="O39" s="762"/>
      <c r="P39" s="762"/>
      <c r="Q39" s="762"/>
      <c r="R39" s="762"/>
      <c r="S39" s="762"/>
      <c r="T39" s="762"/>
      <c r="U39" s="762"/>
      <c r="V39" s="762"/>
      <c r="W39" s="762"/>
      <c r="X39" s="763"/>
    </row>
    <row r="40" spans="2:24" ht="23.1" customHeight="1">
      <c r="B40" s="28"/>
      <c r="C40" s="225" t="s">
        <v>535</v>
      </c>
      <c r="D40" s="43" t="s">
        <v>536</v>
      </c>
      <c r="E40" s="206">
        <f>SUM(E41:E46)</f>
        <v>2378.9699999999998</v>
      </c>
      <c r="F40" s="206">
        <f>SUM(F41:F46)</f>
        <v>2378.9699999999998</v>
      </c>
      <c r="G40" s="212">
        <f>SUM(G41:G46)</f>
        <v>2378.9699999999998</v>
      </c>
      <c r="H40" s="226">
        <f>SUM(H41:H46)</f>
        <v>2378.9699999999998</v>
      </c>
      <c r="I40" s="30"/>
      <c r="K40" s="761"/>
      <c r="L40" s="762"/>
      <c r="M40" s="762"/>
      <c r="N40" s="762"/>
      <c r="O40" s="762"/>
      <c r="P40" s="762"/>
      <c r="Q40" s="762"/>
      <c r="R40" s="762"/>
      <c r="S40" s="762"/>
      <c r="T40" s="762"/>
      <c r="U40" s="762"/>
      <c r="V40" s="762"/>
      <c r="W40" s="762"/>
      <c r="X40" s="763"/>
    </row>
    <row r="41" spans="2:24" ht="23.1" customHeight="1">
      <c r="B41" s="28"/>
      <c r="C41" s="894" t="s">
        <v>328</v>
      </c>
      <c r="D41" s="629" t="s">
        <v>529</v>
      </c>
      <c r="E41" s="937">
        <v>720.4</v>
      </c>
      <c r="F41" s="937">
        <v>720.4</v>
      </c>
      <c r="G41" s="938"/>
      <c r="H41" s="939"/>
      <c r="I41" s="30"/>
      <c r="K41" s="761"/>
      <c r="L41" s="762"/>
      <c r="M41" s="762"/>
      <c r="N41" s="762"/>
      <c r="O41" s="762"/>
      <c r="P41" s="762"/>
      <c r="Q41" s="762"/>
      <c r="R41" s="762"/>
      <c r="S41" s="762"/>
      <c r="T41" s="762"/>
      <c r="U41" s="762"/>
      <c r="V41" s="762"/>
      <c r="W41" s="762"/>
      <c r="X41" s="763"/>
    </row>
    <row r="42" spans="2:24" ht="23.1" customHeight="1">
      <c r="B42" s="28"/>
      <c r="C42" s="895" t="s">
        <v>336</v>
      </c>
      <c r="D42" s="630" t="s">
        <v>537</v>
      </c>
      <c r="E42" s="940"/>
      <c r="F42" s="940"/>
      <c r="G42" s="941"/>
      <c r="H42" s="942"/>
      <c r="I42" s="30"/>
      <c r="K42" s="761"/>
      <c r="L42" s="762"/>
      <c r="M42" s="762"/>
      <c r="N42" s="762"/>
      <c r="O42" s="762"/>
      <c r="P42" s="762"/>
      <c r="Q42" s="762"/>
      <c r="R42" s="762"/>
      <c r="S42" s="762"/>
      <c r="T42" s="762"/>
      <c r="U42" s="762"/>
      <c r="V42" s="762"/>
      <c r="W42" s="762"/>
      <c r="X42" s="763"/>
    </row>
    <row r="43" spans="2:24" ht="23.1" customHeight="1">
      <c r="B43" s="28"/>
      <c r="C43" s="895" t="s">
        <v>338</v>
      </c>
      <c r="D43" s="630" t="s">
        <v>531</v>
      </c>
      <c r="E43" s="940"/>
      <c r="F43" s="940"/>
      <c r="G43" s="941"/>
      <c r="H43" s="942"/>
      <c r="I43" s="30"/>
      <c r="K43" s="761"/>
      <c r="L43" s="762"/>
      <c r="M43" s="762"/>
      <c r="N43" s="762"/>
      <c r="O43" s="762"/>
      <c r="P43" s="762"/>
      <c r="Q43" s="762"/>
      <c r="R43" s="762"/>
      <c r="S43" s="762"/>
      <c r="T43" s="762"/>
      <c r="U43" s="762"/>
      <c r="V43" s="762"/>
      <c r="W43" s="762"/>
      <c r="X43" s="763"/>
    </row>
    <row r="44" spans="2:24" ht="23.1" customHeight="1">
      <c r="B44" s="28"/>
      <c r="C44" s="895" t="s">
        <v>340</v>
      </c>
      <c r="D44" s="630" t="s">
        <v>532</v>
      </c>
      <c r="E44" s="940"/>
      <c r="F44" s="940"/>
      <c r="G44" s="941"/>
      <c r="H44" s="942"/>
      <c r="I44" s="30"/>
      <c r="K44" s="761"/>
      <c r="L44" s="762"/>
      <c r="M44" s="762"/>
      <c r="N44" s="762"/>
      <c r="O44" s="762"/>
      <c r="P44" s="762"/>
      <c r="Q44" s="762"/>
      <c r="R44" s="762"/>
      <c r="S44" s="762"/>
      <c r="T44" s="762"/>
      <c r="U44" s="762"/>
      <c r="V44" s="762"/>
      <c r="W44" s="762"/>
      <c r="X44" s="763"/>
    </row>
    <row r="45" spans="2:24" ht="23.1" customHeight="1">
      <c r="B45" s="28"/>
      <c r="C45" s="895" t="s">
        <v>513</v>
      </c>
      <c r="D45" s="630" t="s">
        <v>533</v>
      </c>
      <c r="E45" s="940">
        <v>1658.57</v>
      </c>
      <c r="F45" s="940">
        <v>1658.57</v>
      </c>
      <c r="G45" s="941">
        <v>2378.9699999999998</v>
      </c>
      <c r="H45" s="942">
        <v>2378.9699999999998</v>
      </c>
      <c r="I45" s="30"/>
      <c r="K45" s="761"/>
      <c r="L45" s="762"/>
      <c r="M45" s="762"/>
      <c r="N45" s="762"/>
      <c r="O45" s="762"/>
      <c r="P45" s="762"/>
      <c r="Q45" s="762"/>
      <c r="R45" s="762"/>
      <c r="S45" s="762"/>
      <c r="T45" s="762"/>
      <c r="U45" s="762"/>
      <c r="V45" s="762"/>
      <c r="W45" s="762"/>
      <c r="X45" s="763"/>
    </row>
    <row r="46" spans="2:24" ht="23.1" customHeight="1">
      <c r="B46" s="28"/>
      <c r="C46" s="895" t="s">
        <v>351</v>
      </c>
      <c r="D46" s="630" t="s">
        <v>534</v>
      </c>
      <c r="E46" s="940"/>
      <c r="F46" s="940"/>
      <c r="G46" s="941"/>
      <c r="H46" s="942"/>
      <c r="I46" s="30"/>
      <c r="K46" s="761"/>
      <c r="L46" s="762"/>
      <c r="M46" s="762"/>
      <c r="N46" s="762"/>
      <c r="O46" s="762"/>
      <c r="P46" s="762"/>
      <c r="Q46" s="762"/>
      <c r="R46" s="762"/>
      <c r="S46" s="762"/>
      <c r="T46" s="762"/>
      <c r="U46" s="762"/>
      <c r="V46" s="762"/>
      <c r="W46" s="762"/>
      <c r="X46" s="763"/>
    </row>
    <row r="47" spans="2:24" ht="23.1" customHeight="1">
      <c r="B47" s="28"/>
      <c r="C47" s="225" t="s">
        <v>538</v>
      </c>
      <c r="D47" s="43" t="s">
        <v>539</v>
      </c>
      <c r="E47" s="273"/>
      <c r="F47" s="273"/>
      <c r="G47" s="274"/>
      <c r="H47" s="275"/>
      <c r="I47" s="30"/>
      <c r="K47" s="761"/>
      <c r="L47" s="762"/>
      <c r="M47" s="762"/>
      <c r="N47" s="762"/>
      <c r="O47" s="762"/>
      <c r="P47" s="762"/>
      <c r="Q47" s="762"/>
      <c r="R47" s="762"/>
      <c r="S47" s="762"/>
      <c r="T47" s="762"/>
      <c r="U47" s="762"/>
      <c r="V47" s="762"/>
      <c r="W47" s="762"/>
      <c r="X47" s="763"/>
    </row>
    <row r="48" spans="2:24" ht="23.1" customHeight="1">
      <c r="B48" s="28"/>
      <c r="C48" s="225" t="s">
        <v>540</v>
      </c>
      <c r="D48" s="43" t="s">
        <v>541</v>
      </c>
      <c r="E48" s="273">
        <v>635186.88</v>
      </c>
      <c r="F48" s="273">
        <v>601186.68000000005</v>
      </c>
      <c r="G48" s="274">
        <v>601186.68000000005</v>
      </c>
      <c r="H48" s="275">
        <v>567186.48</v>
      </c>
      <c r="I48" s="30"/>
      <c r="K48" s="761"/>
      <c r="L48" s="762"/>
      <c r="M48" s="762"/>
      <c r="N48" s="762"/>
      <c r="O48" s="762"/>
      <c r="P48" s="762"/>
      <c r="Q48" s="762"/>
      <c r="R48" s="762"/>
      <c r="S48" s="762"/>
      <c r="T48" s="762"/>
      <c r="U48" s="762"/>
      <c r="V48" s="762"/>
      <c r="W48" s="762"/>
      <c r="X48" s="763"/>
    </row>
    <row r="49" spans="2:24" ht="23.1" customHeight="1">
      <c r="B49" s="28"/>
      <c r="C49" s="903"/>
      <c r="D49" s="412"/>
      <c r="E49" s="204"/>
      <c r="F49" s="204"/>
      <c r="G49" s="210"/>
      <c r="H49" s="222"/>
      <c r="I49" s="30"/>
      <c r="K49" s="761"/>
      <c r="L49" s="762"/>
      <c r="M49" s="762"/>
      <c r="N49" s="762"/>
      <c r="O49" s="762"/>
      <c r="P49" s="762"/>
      <c r="Q49" s="762"/>
      <c r="R49" s="762"/>
      <c r="S49" s="762"/>
      <c r="T49" s="762"/>
      <c r="U49" s="762"/>
      <c r="V49" s="762"/>
      <c r="W49" s="762"/>
      <c r="X49" s="763"/>
    </row>
    <row r="50" spans="2:24" s="45" customFormat="1" ht="23.1" customHeight="1">
      <c r="B50" s="10"/>
      <c r="C50" s="223" t="s">
        <v>437</v>
      </c>
      <c r="D50" s="53" t="s">
        <v>542</v>
      </c>
      <c r="E50" s="205">
        <f>E51+E52+E65+E77+E84+E91+E92</f>
        <v>3271291.3499999996</v>
      </c>
      <c r="F50" s="205">
        <f>F51+F52+F65+F77+F84+F91+F92</f>
        <v>2968037.1399999997</v>
      </c>
      <c r="G50" s="211">
        <f>G51+G52+G65+G77+G84+G91+G92</f>
        <v>2787042.09</v>
      </c>
      <c r="H50" s="224">
        <f>H51+H52+H65+H77+H84+H91+H92</f>
        <v>986080.72</v>
      </c>
      <c r="I50" s="37"/>
      <c r="K50" s="761"/>
      <c r="L50" s="762"/>
      <c r="M50" s="762"/>
      <c r="N50" s="762"/>
      <c r="O50" s="762"/>
      <c r="P50" s="762"/>
      <c r="Q50" s="762"/>
      <c r="R50" s="762"/>
      <c r="S50" s="762"/>
      <c r="T50" s="762"/>
      <c r="U50" s="762"/>
      <c r="V50" s="762"/>
      <c r="W50" s="762"/>
      <c r="X50" s="763"/>
    </row>
    <row r="51" spans="2:24" ht="23.1" customHeight="1">
      <c r="B51" s="28"/>
      <c r="C51" s="225" t="s">
        <v>507</v>
      </c>
      <c r="D51" s="43" t="s">
        <v>543</v>
      </c>
      <c r="E51" s="273"/>
      <c r="F51" s="273"/>
      <c r="G51" s="274"/>
      <c r="H51" s="275"/>
      <c r="I51" s="30"/>
      <c r="K51" s="761"/>
      <c r="L51" s="762"/>
      <c r="M51" s="762"/>
      <c r="N51" s="762"/>
      <c r="O51" s="762"/>
      <c r="P51" s="762"/>
      <c r="Q51" s="762"/>
      <c r="R51" s="762"/>
      <c r="S51" s="762"/>
      <c r="T51" s="762"/>
      <c r="U51" s="762"/>
      <c r="V51" s="762"/>
      <c r="W51" s="762"/>
      <c r="X51" s="763"/>
    </row>
    <row r="52" spans="2:24" ht="23.1" customHeight="1">
      <c r="B52" s="28"/>
      <c r="C52" s="225" t="s">
        <v>518</v>
      </c>
      <c r="D52" s="43" t="s">
        <v>544</v>
      </c>
      <c r="E52" s="206">
        <f>E53+E54+E57+E60+E63+E64</f>
        <v>0</v>
      </c>
      <c r="F52" s="206">
        <f>F53+F54+F57+F60+F63+F64</f>
        <v>0</v>
      </c>
      <c r="G52" s="212">
        <f>G53+G54+G57+G60+G63+G64</f>
        <v>0</v>
      </c>
      <c r="H52" s="226">
        <f>H53+H54+H57+H60+H63+H64</f>
        <v>0</v>
      </c>
      <c r="I52" s="30"/>
      <c r="K52" s="761"/>
      <c r="L52" s="762"/>
      <c r="M52" s="762"/>
      <c r="N52" s="762"/>
      <c r="O52" s="762"/>
      <c r="P52" s="762"/>
      <c r="Q52" s="762"/>
      <c r="R52" s="762"/>
      <c r="S52" s="762"/>
      <c r="T52" s="762"/>
      <c r="U52" s="762"/>
      <c r="V52" s="762"/>
      <c r="W52" s="762"/>
      <c r="X52" s="763"/>
    </row>
    <row r="53" spans="2:24" ht="23.1" customHeight="1">
      <c r="B53" s="28"/>
      <c r="C53" s="895" t="s">
        <v>328</v>
      </c>
      <c r="D53" s="630" t="s">
        <v>545</v>
      </c>
      <c r="E53" s="940"/>
      <c r="F53" s="940"/>
      <c r="G53" s="941"/>
      <c r="H53" s="942"/>
      <c r="I53" s="30"/>
      <c r="K53" s="761"/>
      <c r="L53" s="762"/>
      <c r="M53" s="762"/>
      <c r="N53" s="762"/>
      <c r="O53" s="762"/>
      <c r="P53" s="762"/>
      <c r="Q53" s="762"/>
      <c r="R53" s="762"/>
      <c r="S53" s="762"/>
      <c r="T53" s="762"/>
      <c r="U53" s="762"/>
      <c r="V53" s="762"/>
      <c r="W53" s="762"/>
      <c r="X53" s="763"/>
    </row>
    <row r="54" spans="2:24" ht="23.1" customHeight="1">
      <c r="B54" s="28"/>
      <c r="C54" s="895" t="s">
        <v>336</v>
      </c>
      <c r="D54" s="630" t="s">
        <v>546</v>
      </c>
      <c r="E54" s="943">
        <f>E55+E56</f>
        <v>0</v>
      </c>
      <c r="F54" s="943">
        <f>F55+F56</f>
        <v>0</v>
      </c>
      <c r="G54" s="944">
        <f>G55+G56</f>
        <v>0</v>
      </c>
      <c r="H54" s="945">
        <f>H55+H56</f>
        <v>0</v>
      </c>
      <c r="I54" s="30"/>
      <c r="K54" s="761"/>
      <c r="L54" s="762"/>
      <c r="M54" s="762"/>
      <c r="N54" s="762"/>
      <c r="O54" s="762"/>
      <c r="P54" s="762"/>
      <c r="Q54" s="762"/>
      <c r="R54" s="762"/>
      <c r="S54" s="762"/>
      <c r="T54" s="762"/>
      <c r="U54" s="762"/>
      <c r="V54" s="762"/>
      <c r="W54" s="762"/>
      <c r="X54" s="763"/>
    </row>
    <row r="55" spans="2:24" ht="23.1" customHeight="1">
      <c r="B55" s="28"/>
      <c r="C55" s="227" t="s">
        <v>330</v>
      </c>
      <c r="D55" s="56" t="s">
        <v>547</v>
      </c>
      <c r="E55" s="321"/>
      <c r="F55" s="321"/>
      <c r="G55" s="322"/>
      <c r="H55" s="323"/>
      <c r="I55" s="30"/>
      <c r="K55" s="761"/>
      <c r="L55" s="762"/>
      <c r="M55" s="762"/>
      <c r="N55" s="762"/>
      <c r="O55" s="762"/>
      <c r="P55" s="762"/>
      <c r="Q55" s="762"/>
      <c r="R55" s="762"/>
      <c r="S55" s="762"/>
      <c r="T55" s="762"/>
      <c r="U55" s="762"/>
      <c r="V55" s="762"/>
      <c r="W55" s="762"/>
      <c r="X55" s="763"/>
    </row>
    <row r="56" spans="2:24" ht="23.1" customHeight="1">
      <c r="B56" s="28"/>
      <c r="C56" s="227" t="s">
        <v>332</v>
      </c>
      <c r="D56" s="56" t="s">
        <v>548</v>
      </c>
      <c r="E56" s="321"/>
      <c r="F56" s="321"/>
      <c r="G56" s="322"/>
      <c r="H56" s="323"/>
      <c r="I56" s="30"/>
      <c r="K56" s="761"/>
      <c r="L56" s="762"/>
      <c r="M56" s="762"/>
      <c r="N56" s="762"/>
      <c r="O56" s="762"/>
      <c r="P56" s="762"/>
      <c r="Q56" s="762"/>
      <c r="R56" s="762"/>
      <c r="S56" s="762"/>
      <c r="T56" s="762"/>
      <c r="U56" s="762"/>
      <c r="V56" s="762"/>
      <c r="W56" s="762"/>
      <c r="X56" s="763"/>
    </row>
    <row r="57" spans="2:24" ht="23.1" customHeight="1">
      <c r="B57" s="28"/>
      <c r="C57" s="895" t="s">
        <v>338</v>
      </c>
      <c r="D57" s="630" t="s">
        <v>549</v>
      </c>
      <c r="E57" s="943">
        <f>E58+E59</f>
        <v>0</v>
      </c>
      <c r="F57" s="943">
        <f>F58+F59</f>
        <v>0</v>
      </c>
      <c r="G57" s="944">
        <f>G58+G59</f>
        <v>0</v>
      </c>
      <c r="H57" s="945">
        <f>H58+H59</f>
        <v>0</v>
      </c>
      <c r="I57" s="30"/>
      <c r="K57" s="761"/>
      <c r="L57" s="762"/>
      <c r="M57" s="762"/>
      <c r="N57" s="762"/>
      <c r="O57" s="762"/>
      <c r="P57" s="762"/>
      <c r="Q57" s="762"/>
      <c r="R57" s="762"/>
      <c r="S57" s="762"/>
      <c r="T57" s="762"/>
      <c r="U57" s="762"/>
      <c r="V57" s="762"/>
      <c r="W57" s="762"/>
      <c r="X57" s="763"/>
    </row>
    <row r="58" spans="2:24" ht="23.1" customHeight="1">
      <c r="B58" s="28"/>
      <c r="C58" s="227" t="s">
        <v>330</v>
      </c>
      <c r="D58" s="56" t="s">
        <v>550</v>
      </c>
      <c r="E58" s="321"/>
      <c r="F58" s="321"/>
      <c r="G58" s="322"/>
      <c r="H58" s="323"/>
      <c r="I58" s="30"/>
      <c r="K58" s="761"/>
      <c r="L58" s="762"/>
      <c r="M58" s="762"/>
      <c r="N58" s="762"/>
      <c r="O58" s="762"/>
      <c r="P58" s="762"/>
      <c r="Q58" s="762"/>
      <c r="R58" s="762"/>
      <c r="S58" s="762"/>
      <c r="T58" s="762"/>
      <c r="U58" s="762"/>
      <c r="V58" s="762"/>
      <c r="W58" s="762"/>
      <c r="X58" s="763"/>
    </row>
    <row r="59" spans="2:24" ht="23.1" customHeight="1">
      <c r="B59" s="28"/>
      <c r="C59" s="227" t="s">
        <v>332</v>
      </c>
      <c r="D59" s="56" t="s">
        <v>551</v>
      </c>
      <c r="E59" s="321"/>
      <c r="F59" s="321"/>
      <c r="G59" s="322"/>
      <c r="H59" s="323"/>
      <c r="I59" s="30"/>
      <c r="K59" s="761"/>
      <c r="L59" s="762"/>
      <c r="M59" s="762"/>
      <c r="N59" s="762"/>
      <c r="O59" s="762"/>
      <c r="P59" s="762"/>
      <c r="Q59" s="762"/>
      <c r="R59" s="762"/>
      <c r="S59" s="762"/>
      <c r="T59" s="762"/>
      <c r="U59" s="762"/>
      <c r="V59" s="762"/>
      <c r="W59" s="762"/>
      <c r="X59" s="763"/>
    </row>
    <row r="60" spans="2:24" ht="23.1" customHeight="1">
      <c r="B60" s="28"/>
      <c r="C60" s="895" t="s">
        <v>340</v>
      </c>
      <c r="D60" s="630" t="s">
        <v>552</v>
      </c>
      <c r="E60" s="943">
        <f>E61+E62</f>
        <v>0</v>
      </c>
      <c r="F60" s="943">
        <f>F61+F62</f>
        <v>0</v>
      </c>
      <c r="G60" s="944">
        <f>G61+G62</f>
        <v>0</v>
      </c>
      <c r="H60" s="945">
        <f>H61+H62</f>
        <v>0</v>
      </c>
      <c r="I60" s="30"/>
      <c r="K60" s="761"/>
      <c r="L60" s="762"/>
      <c r="M60" s="762"/>
      <c r="N60" s="762"/>
      <c r="O60" s="762"/>
      <c r="P60" s="762"/>
      <c r="Q60" s="762"/>
      <c r="R60" s="762"/>
      <c r="S60" s="762"/>
      <c r="T60" s="762"/>
      <c r="U60" s="762"/>
      <c r="V60" s="762"/>
      <c r="W60" s="762"/>
      <c r="X60" s="763"/>
    </row>
    <row r="61" spans="2:24" ht="23.1" customHeight="1">
      <c r="B61" s="28"/>
      <c r="C61" s="227" t="s">
        <v>330</v>
      </c>
      <c r="D61" s="56" t="s">
        <v>550</v>
      </c>
      <c r="E61" s="321"/>
      <c r="F61" s="321"/>
      <c r="G61" s="322"/>
      <c r="H61" s="323"/>
      <c r="I61" s="30"/>
      <c r="K61" s="761"/>
      <c r="L61" s="762"/>
      <c r="M61" s="762"/>
      <c r="N61" s="762"/>
      <c r="O61" s="762"/>
      <c r="P61" s="762"/>
      <c r="Q61" s="762"/>
      <c r="R61" s="762"/>
      <c r="S61" s="762"/>
      <c r="T61" s="762"/>
      <c r="U61" s="762"/>
      <c r="V61" s="762"/>
      <c r="W61" s="762"/>
      <c r="X61" s="763"/>
    </row>
    <row r="62" spans="2:24" ht="23.1" customHeight="1">
      <c r="B62" s="28"/>
      <c r="C62" s="227" t="s">
        <v>332</v>
      </c>
      <c r="D62" s="56" t="s">
        <v>551</v>
      </c>
      <c r="E62" s="321"/>
      <c r="F62" s="321"/>
      <c r="G62" s="322"/>
      <c r="H62" s="323"/>
      <c r="I62" s="30"/>
      <c r="K62" s="761"/>
      <c r="L62" s="762"/>
      <c r="M62" s="762"/>
      <c r="N62" s="762"/>
      <c r="O62" s="762"/>
      <c r="P62" s="762"/>
      <c r="Q62" s="762"/>
      <c r="R62" s="762"/>
      <c r="S62" s="762"/>
      <c r="T62" s="762"/>
      <c r="U62" s="762"/>
      <c r="V62" s="762"/>
      <c r="W62" s="762"/>
      <c r="X62" s="763"/>
    </row>
    <row r="63" spans="2:24" ht="23.1" customHeight="1">
      <c r="B63" s="28"/>
      <c r="C63" s="895" t="s">
        <v>513</v>
      </c>
      <c r="D63" s="630" t="s">
        <v>553</v>
      </c>
      <c r="E63" s="940"/>
      <c r="F63" s="940"/>
      <c r="G63" s="941"/>
      <c r="H63" s="942"/>
      <c r="I63" s="30"/>
      <c r="K63" s="761"/>
      <c r="L63" s="762"/>
      <c r="M63" s="762"/>
      <c r="N63" s="762"/>
      <c r="O63" s="762"/>
      <c r="P63" s="762"/>
      <c r="Q63" s="762"/>
      <c r="R63" s="762"/>
      <c r="S63" s="762"/>
      <c r="T63" s="762"/>
      <c r="U63" s="762"/>
      <c r="V63" s="762"/>
      <c r="W63" s="762"/>
      <c r="X63" s="763"/>
    </row>
    <row r="64" spans="2:24" ht="23.1" customHeight="1">
      <c r="B64" s="28"/>
      <c r="C64" s="895" t="s">
        <v>351</v>
      </c>
      <c r="D64" s="630" t="s">
        <v>554</v>
      </c>
      <c r="E64" s="940"/>
      <c r="F64" s="940"/>
      <c r="G64" s="941"/>
      <c r="H64" s="942"/>
      <c r="I64" s="30"/>
      <c r="K64" s="761"/>
      <c r="L64" s="762"/>
      <c r="M64" s="762"/>
      <c r="N64" s="762"/>
      <c r="O64" s="762"/>
      <c r="P64" s="762"/>
      <c r="Q64" s="762"/>
      <c r="R64" s="762"/>
      <c r="S64" s="762"/>
      <c r="T64" s="762"/>
      <c r="U64" s="762"/>
      <c r="V64" s="762"/>
      <c r="W64" s="762"/>
      <c r="X64" s="763"/>
    </row>
    <row r="65" spans="2:24" ht="23.1" customHeight="1">
      <c r="B65" s="28"/>
      <c r="C65" s="225" t="s">
        <v>523</v>
      </c>
      <c r="D65" s="43" t="s">
        <v>555</v>
      </c>
      <c r="E65" s="206">
        <f>E66+SUM(E69:E73)+E76</f>
        <v>92756.180000000008</v>
      </c>
      <c r="F65" s="206">
        <f>F66+SUM(F69:F73)+F76</f>
        <v>34991.279999999999</v>
      </c>
      <c r="G65" s="206">
        <f>G66+SUM(G69:G73)+G76</f>
        <v>40601.15</v>
      </c>
      <c r="H65" s="206">
        <f>H66+SUM(H69:H73)+H76</f>
        <v>32676.02</v>
      </c>
      <c r="I65" s="30"/>
      <c r="K65" s="761"/>
      <c r="L65" s="762"/>
      <c r="M65" s="762"/>
      <c r="N65" s="762"/>
      <c r="O65" s="762"/>
      <c r="P65" s="762"/>
      <c r="Q65" s="762"/>
      <c r="R65" s="762"/>
      <c r="S65" s="762"/>
      <c r="T65" s="762"/>
      <c r="U65" s="762"/>
      <c r="V65" s="762"/>
      <c r="W65" s="762"/>
      <c r="X65" s="763"/>
    </row>
    <row r="66" spans="2:24" ht="23.1" customHeight="1">
      <c r="B66" s="28"/>
      <c r="C66" s="895" t="s">
        <v>328</v>
      </c>
      <c r="D66" s="630" t="s">
        <v>556</v>
      </c>
      <c r="E66" s="943">
        <f>E67+E68</f>
        <v>69268.52</v>
      </c>
      <c r="F66" s="943">
        <f>F67+F68</f>
        <v>9960.25</v>
      </c>
      <c r="G66" s="944">
        <f>G67+G68</f>
        <v>13930.65</v>
      </c>
      <c r="H66" s="945">
        <f>H67+H68</f>
        <v>14348.57</v>
      </c>
      <c r="I66" s="30"/>
      <c r="K66" s="800">
        <f>+F66-G66</f>
        <v>-3970.3999999999996</v>
      </c>
      <c r="L66" s="762"/>
      <c r="M66" s="762"/>
      <c r="N66" s="762"/>
      <c r="O66" s="762"/>
      <c r="P66" s="762"/>
      <c r="Q66" s="762"/>
      <c r="R66" s="762"/>
      <c r="S66" s="762"/>
      <c r="T66" s="762"/>
      <c r="U66" s="762"/>
      <c r="V66" s="762"/>
      <c r="W66" s="762"/>
      <c r="X66" s="763"/>
    </row>
    <row r="67" spans="2:24" ht="23.1" customHeight="1">
      <c r="B67" s="28"/>
      <c r="C67" s="227" t="s">
        <v>330</v>
      </c>
      <c r="D67" s="56" t="s">
        <v>557</v>
      </c>
      <c r="E67" s="321"/>
      <c r="F67" s="321"/>
      <c r="G67" s="322"/>
      <c r="H67" s="323"/>
      <c r="I67" s="30"/>
      <c r="K67" s="761"/>
      <c r="L67" s="762"/>
      <c r="M67" s="762"/>
      <c r="N67" s="762"/>
      <c r="O67" s="762"/>
      <c r="P67" s="762"/>
      <c r="Q67" s="762"/>
      <c r="R67" s="762"/>
      <c r="S67" s="762"/>
      <c r="T67" s="762"/>
      <c r="U67" s="762"/>
      <c r="V67" s="762"/>
      <c r="W67" s="762"/>
      <c r="X67" s="763"/>
    </row>
    <row r="68" spans="2:24" ht="23.1" customHeight="1">
      <c r="B68" s="28"/>
      <c r="C68" s="227" t="s">
        <v>332</v>
      </c>
      <c r="D68" s="56" t="s">
        <v>558</v>
      </c>
      <c r="E68" s="321">
        <v>69268.52</v>
      </c>
      <c r="F68" s="321">
        <v>9960.25</v>
      </c>
      <c r="G68" s="322">
        <v>13930.65</v>
      </c>
      <c r="H68" s="323">
        <v>14348.57</v>
      </c>
      <c r="I68" s="30"/>
      <c r="K68" s="761"/>
      <c r="L68" s="762"/>
      <c r="M68" s="762"/>
      <c r="N68" s="762"/>
      <c r="O68" s="762"/>
      <c r="P68" s="762"/>
      <c r="Q68" s="762"/>
      <c r="R68" s="762"/>
      <c r="S68" s="762"/>
      <c r="T68" s="762"/>
      <c r="U68" s="762"/>
      <c r="V68" s="762"/>
      <c r="W68" s="762"/>
      <c r="X68" s="763"/>
    </row>
    <row r="69" spans="2:24" ht="23.1" customHeight="1">
      <c r="B69" s="28"/>
      <c r="C69" s="895" t="s">
        <v>336</v>
      </c>
      <c r="D69" s="630" t="s">
        <v>559</v>
      </c>
      <c r="E69" s="940"/>
      <c r="F69" s="940"/>
      <c r="G69" s="941"/>
      <c r="H69" s="942"/>
      <c r="I69" s="30"/>
      <c r="K69" s="761"/>
      <c r="L69" s="762"/>
      <c r="M69" s="762"/>
      <c r="N69" s="762"/>
      <c r="O69" s="762"/>
      <c r="P69" s="762"/>
      <c r="Q69" s="762"/>
      <c r="R69" s="762"/>
      <c r="S69" s="762"/>
      <c r="T69" s="762"/>
      <c r="U69" s="762"/>
      <c r="V69" s="762"/>
      <c r="W69" s="762"/>
      <c r="X69" s="763"/>
    </row>
    <row r="70" spans="2:24" ht="23.1" customHeight="1">
      <c r="B70" s="28"/>
      <c r="C70" s="895" t="s">
        <v>338</v>
      </c>
      <c r="D70" s="630" t="s">
        <v>560</v>
      </c>
      <c r="E70" s="940">
        <v>4885.28</v>
      </c>
      <c r="F70" s="940">
        <v>5652.2</v>
      </c>
      <c r="G70" s="941">
        <v>1458</v>
      </c>
      <c r="H70" s="942">
        <v>1501.74</v>
      </c>
      <c r="I70" s="30"/>
      <c r="K70" s="761"/>
      <c r="L70" s="762"/>
      <c r="M70" s="762"/>
      <c r="N70" s="762"/>
      <c r="O70" s="762"/>
      <c r="P70" s="762"/>
      <c r="Q70" s="762"/>
      <c r="R70" s="762"/>
      <c r="S70" s="762"/>
      <c r="T70" s="762"/>
      <c r="U70" s="762"/>
      <c r="V70" s="762"/>
      <c r="W70" s="762"/>
      <c r="X70" s="763"/>
    </row>
    <row r="71" spans="2:24" ht="23.1" customHeight="1">
      <c r="B71" s="28"/>
      <c r="C71" s="895" t="s">
        <v>340</v>
      </c>
      <c r="D71" s="630" t="s">
        <v>89</v>
      </c>
      <c r="E71" s="940">
        <v>9585.76</v>
      </c>
      <c r="F71" s="940">
        <v>10811.97</v>
      </c>
      <c r="G71" s="941">
        <v>9393.3799999999992</v>
      </c>
      <c r="H71" s="942">
        <v>9675.18</v>
      </c>
      <c r="I71" s="30"/>
      <c r="K71" s="761"/>
      <c r="L71" s="762"/>
      <c r="M71" s="762"/>
      <c r="N71" s="762"/>
      <c r="O71" s="762"/>
      <c r="P71" s="762"/>
      <c r="Q71" s="762"/>
      <c r="R71" s="762"/>
      <c r="S71" s="762"/>
      <c r="T71" s="762"/>
      <c r="U71" s="762"/>
      <c r="V71" s="762"/>
      <c r="W71" s="762"/>
      <c r="X71" s="763"/>
    </row>
    <row r="72" spans="2:24" ht="23.1" customHeight="1">
      <c r="B72" s="28"/>
      <c r="C72" s="895" t="s">
        <v>513</v>
      </c>
      <c r="D72" s="630" t="s">
        <v>561</v>
      </c>
      <c r="E72" s="940"/>
      <c r="F72" s="940"/>
      <c r="G72" s="941"/>
      <c r="H72" s="942"/>
      <c r="I72" s="30"/>
      <c r="K72" s="761"/>
      <c r="L72" s="762"/>
      <c r="M72" s="762"/>
      <c r="N72" s="762"/>
      <c r="O72" s="762"/>
      <c r="P72" s="762"/>
      <c r="Q72" s="762"/>
      <c r="R72" s="762"/>
      <c r="S72" s="762"/>
      <c r="T72" s="762"/>
      <c r="U72" s="762"/>
      <c r="V72" s="762"/>
      <c r="W72" s="762"/>
      <c r="X72" s="763"/>
    </row>
    <row r="73" spans="2:24" ht="23.1" customHeight="1">
      <c r="B73" s="28"/>
      <c r="C73" s="895" t="s">
        <v>351</v>
      </c>
      <c r="D73" s="630" t="s">
        <v>562</v>
      </c>
      <c r="E73" s="943">
        <f>E74+E75</f>
        <v>9016.6200000000008</v>
      </c>
      <c r="F73" s="943">
        <f>F74+F75</f>
        <v>8566.86</v>
      </c>
      <c r="G73" s="943">
        <f>G74+G75</f>
        <v>15819.12</v>
      </c>
      <c r="H73" s="943">
        <f>H74+H75</f>
        <v>7150.53</v>
      </c>
      <c r="I73" s="30"/>
      <c r="K73" s="761"/>
      <c r="L73" s="762"/>
      <c r="M73" s="762"/>
      <c r="N73" s="762"/>
      <c r="O73" s="762"/>
      <c r="P73" s="762"/>
      <c r="Q73" s="762"/>
      <c r="R73" s="762"/>
      <c r="S73" s="762"/>
      <c r="T73" s="762"/>
      <c r="U73" s="762"/>
      <c r="V73" s="762"/>
      <c r="W73" s="762"/>
      <c r="X73" s="763"/>
    </row>
    <row r="74" spans="2:24" ht="23.1" customHeight="1">
      <c r="B74" s="28"/>
      <c r="C74" s="227" t="s">
        <v>330</v>
      </c>
      <c r="D74" s="56" t="s">
        <v>563</v>
      </c>
      <c r="E74" s="321"/>
      <c r="F74" s="321"/>
      <c r="G74" s="322"/>
      <c r="H74" s="323"/>
      <c r="I74" s="30"/>
      <c r="K74" s="761"/>
      <c r="L74" s="762"/>
      <c r="M74" s="762"/>
      <c r="N74" s="762"/>
      <c r="O74" s="762"/>
      <c r="P74" s="762"/>
      <c r="Q74" s="762"/>
      <c r="R74" s="762"/>
      <c r="S74" s="762"/>
      <c r="T74" s="762"/>
      <c r="U74" s="762"/>
      <c r="V74" s="762"/>
      <c r="W74" s="762"/>
      <c r="X74" s="763"/>
    </row>
    <row r="75" spans="2:24" ht="23.1" customHeight="1">
      <c r="B75" s="28"/>
      <c r="C75" s="227" t="s">
        <v>332</v>
      </c>
      <c r="D75" s="56" t="s">
        <v>564</v>
      </c>
      <c r="E75" s="321">
        <v>9016.6200000000008</v>
      </c>
      <c r="F75" s="321">
        <v>8566.86</v>
      </c>
      <c r="G75" s="322">
        <f>-'FC-3_1_INF_ADIC_CPyG'!E69</f>
        <v>15819.12</v>
      </c>
      <c r="H75" s="323">
        <f>+'FC-3_1_INF_ADIC_CPyG'!E68</f>
        <v>7150.53</v>
      </c>
      <c r="I75" s="30"/>
      <c r="K75" s="761"/>
      <c r="L75" s="762"/>
      <c r="M75" s="762"/>
      <c r="N75" s="762"/>
      <c r="O75" s="762"/>
      <c r="P75" s="762"/>
      <c r="Q75" s="762"/>
      <c r="R75" s="762"/>
      <c r="S75" s="762"/>
      <c r="T75" s="762"/>
      <c r="U75" s="762"/>
      <c r="V75" s="762"/>
      <c r="W75" s="762"/>
      <c r="X75" s="763"/>
    </row>
    <row r="76" spans="2:24" ht="23.1" customHeight="1">
      <c r="B76" s="28"/>
      <c r="C76" s="895" t="s">
        <v>359</v>
      </c>
      <c r="D76" s="630" t="s">
        <v>565</v>
      </c>
      <c r="E76" s="940"/>
      <c r="F76" s="940"/>
      <c r="G76" s="941"/>
      <c r="H76" s="942"/>
      <c r="I76" s="30"/>
      <c r="K76" s="761"/>
      <c r="L76" s="762"/>
      <c r="M76" s="762"/>
      <c r="N76" s="762"/>
      <c r="O76" s="762"/>
      <c r="P76" s="762"/>
      <c r="Q76" s="762"/>
      <c r="R76" s="762"/>
      <c r="S76" s="762"/>
      <c r="T76" s="762"/>
      <c r="U76" s="762"/>
      <c r="V76" s="762"/>
      <c r="W76" s="762"/>
      <c r="X76" s="763"/>
    </row>
    <row r="77" spans="2:24" ht="23.1" customHeight="1">
      <c r="B77" s="28"/>
      <c r="C77" s="225" t="s">
        <v>527</v>
      </c>
      <c r="D77" s="43" t="s">
        <v>566</v>
      </c>
      <c r="E77" s="206">
        <f>SUM(E78:E83)</f>
        <v>1325141.6499999999</v>
      </c>
      <c r="F77" s="206">
        <f>SUM(F78:F83)</f>
        <v>0</v>
      </c>
      <c r="G77" s="212">
        <f>SUM(G78:G83)</f>
        <v>1000000</v>
      </c>
      <c r="H77" s="226">
        <f>SUM(H78:H83)</f>
        <v>0</v>
      </c>
      <c r="I77" s="30"/>
      <c r="K77" s="761"/>
      <c r="L77" s="762"/>
      <c r="M77" s="762"/>
      <c r="N77" s="762"/>
      <c r="O77" s="762"/>
      <c r="P77" s="762"/>
      <c r="Q77" s="762"/>
      <c r="R77" s="762"/>
      <c r="S77" s="762"/>
      <c r="T77" s="762"/>
      <c r="U77" s="762"/>
      <c r="V77" s="762"/>
      <c r="W77" s="762"/>
      <c r="X77" s="763"/>
    </row>
    <row r="78" spans="2:24" ht="23.1" customHeight="1">
      <c r="B78" s="28"/>
      <c r="C78" s="895" t="s">
        <v>328</v>
      </c>
      <c r="D78" s="630" t="s">
        <v>529</v>
      </c>
      <c r="E78" s="940"/>
      <c r="F78" s="940"/>
      <c r="G78" s="941"/>
      <c r="H78" s="942"/>
      <c r="I78" s="30"/>
      <c r="K78" s="761"/>
      <c r="L78" s="762"/>
      <c r="M78" s="762"/>
      <c r="N78" s="762"/>
      <c r="O78" s="762"/>
      <c r="P78" s="762"/>
      <c r="Q78" s="762"/>
      <c r="R78" s="762"/>
      <c r="S78" s="762"/>
      <c r="T78" s="762"/>
      <c r="U78" s="762"/>
      <c r="V78" s="762"/>
      <c r="W78" s="762"/>
      <c r="X78" s="763"/>
    </row>
    <row r="79" spans="2:24" ht="23.1" customHeight="1">
      <c r="B79" s="28"/>
      <c r="C79" s="895" t="s">
        <v>336</v>
      </c>
      <c r="D79" s="630" t="s">
        <v>530</v>
      </c>
      <c r="E79" s="940"/>
      <c r="F79" s="940"/>
      <c r="G79" s="941"/>
      <c r="H79" s="942"/>
      <c r="I79" s="30"/>
      <c r="K79" s="761"/>
      <c r="L79" s="762"/>
      <c r="M79" s="762"/>
      <c r="N79" s="762"/>
      <c r="O79" s="762"/>
      <c r="P79" s="762"/>
      <c r="Q79" s="762"/>
      <c r="R79" s="762"/>
      <c r="S79" s="762"/>
      <c r="T79" s="762"/>
      <c r="U79" s="762"/>
      <c r="V79" s="762"/>
      <c r="W79" s="762"/>
      <c r="X79" s="763"/>
    </row>
    <row r="80" spans="2:24" ht="23.1" customHeight="1">
      <c r="B80" s="28"/>
      <c r="C80" s="895" t="s">
        <v>338</v>
      </c>
      <c r="D80" s="630" t="s">
        <v>531</v>
      </c>
      <c r="E80" s="940">
        <v>1300000</v>
      </c>
      <c r="F80" s="940"/>
      <c r="G80" s="941">
        <v>1000000</v>
      </c>
      <c r="H80" s="942"/>
      <c r="I80" s="30"/>
      <c r="K80" s="761"/>
      <c r="L80" s="762"/>
      <c r="M80" s="762"/>
      <c r="N80" s="762"/>
      <c r="O80" s="762"/>
      <c r="P80" s="762"/>
      <c r="Q80" s="762"/>
      <c r="R80" s="762"/>
      <c r="S80" s="762"/>
      <c r="T80" s="762"/>
      <c r="U80" s="762"/>
      <c r="V80" s="762"/>
      <c r="W80" s="762"/>
      <c r="X80" s="763"/>
    </row>
    <row r="81" spans="2:24" ht="23.1" customHeight="1">
      <c r="B81" s="28"/>
      <c r="C81" s="895" t="s">
        <v>340</v>
      </c>
      <c r="D81" s="630" t="s">
        <v>532</v>
      </c>
      <c r="E81" s="940"/>
      <c r="F81" s="940"/>
      <c r="G81" s="941"/>
      <c r="H81" s="942"/>
      <c r="I81" s="30"/>
      <c r="K81" s="761"/>
      <c r="L81" s="762"/>
      <c r="M81" s="762"/>
      <c r="N81" s="762"/>
      <c r="O81" s="762"/>
      <c r="P81" s="762"/>
      <c r="Q81" s="762"/>
      <c r="R81" s="762"/>
      <c r="S81" s="762"/>
      <c r="T81" s="762"/>
      <c r="U81" s="762"/>
      <c r="V81" s="762"/>
      <c r="W81" s="762"/>
      <c r="X81" s="763"/>
    </row>
    <row r="82" spans="2:24" ht="23.1" customHeight="1">
      <c r="B82" s="28"/>
      <c r="C82" s="895" t="s">
        <v>513</v>
      </c>
      <c r="D82" s="630" t="s">
        <v>533</v>
      </c>
      <c r="E82" s="940">
        <v>25141.65</v>
      </c>
      <c r="F82" s="940"/>
      <c r="G82" s="941"/>
      <c r="H82" s="942"/>
      <c r="I82" s="30"/>
      <c r="K82" s="761"/>
      <c r="L82" s="762"/>
      <c r="M82" s="762"/>
      <c r="N82" s="762"/>
      <c r="O82" s="762"/>
      <c r="P82" s="762"/>
      <c r="Q82" s="762"/>
      <c r="R82" s="762"/>
      <c r="S82" s="762"/>
      <c r="T82" s="762"/>
      <c r="U82" s="762"/>
      <c r="V82" s="762"/>
      <c r="W82" s="762"/>
      <c r="X82" s="763"/>
    </row>
    <row r="83" spans="2:24" ht="23.1" customHeight="1">
      <c r="B83" s="28"/>
      <c r="C83" s="895" t="s">
        <v>351</v>
      </c>
      <c r="D83" s="630" t="s">
        <v>534</v>
      </c>
      <c r="E83" s="940"/>
      <c r="F83" s="940"/>
      <c r="G83" s="941"/>
      <c r="H83" s="942"/>
      <c r="I83" s="30"/>
      <c r="K83" s="761"/>
      <c r="L83" s="762"/>
      <c r="M83" s="762"/>
      <c r="N83" s="762"/>
      <c r="O83" s="762"/>
      <c r="P83" s="762"/>
      <c r="Q83" s="762"/>
      <c r="R83" s="762"/>
      <c r="S83" s="762"/>
      <c r="T83" s="762"/>
      <c r="U83" s="762"/>
      <c r="V83" s="762"/>
      <c r="W83" s="762"/>
      <c r="X83" s="763"/>
    </row>
    <row r="84" spans="2:24" ht="23.1" customHeight="1">
      <c r="B84" s="28"/>
      <c r="C84" s="225" t="s">
        <v>535</v>
      </c>
      <c r="D84" s="43" t="s">
        <v>567</v>
      </c>
      <c r="E84" s="206">
        <f>SUM(E85:E90)</f>
        <v>0</v>
      </c>
      <c r="F84" s="206">
        <f>SUM(F85:F90)</f>
        <v>0</v>
      </c>
      <c r="G84" s="212">
        <f>SUM(G85:G90)</f>
        <v>0</v>
      </c>
      <c r="H84" s="226">
        <f>SUM(H85:H90)</f>
        <v>0</v>
      </c>
      <c r="I84" s="30"/>
      <c r="K84" s="761"/>
      <c r="L84" s="762"/>
      <c r="M84" s="762"/>
      <c r="N84" s="762"/>
      <c r="O84" s="762"/>
      <c r="P84" s="762"/>
      <c r="Q84" s="762"/>
      <c r="R84" s="762"/>
      <c r="S84" s="762"/>
      <c r="T84" s="762"/>
      <c r="U84" s="762"/>
      <c r="V84" s="762"/>
      <c r="W84" s="762"/>
      <c r="X84" s="763"/>
    </row>
    <row r="85" spans="2:24" ht="23.1" customHeight="1">
      <c r="B85" s="28"/>
      <c r="C85" s="895" t="s">
        <v>328</v>
      </c>
      <c r="D85" s="630" t="s">
        <v>529</v>
      </c>
      <c r="E85" s="940"/>
      <c r="F85" s="940"/>
      <c r="G85" s="941"/>
      <c r="H85" s="942"/>
      <c r="I85" s="30"/>
      <c r="K85" s="761"/>
      <c r="L85" s="762"/>
      <c r="M85" s="762"/>
      <c r="N85" s="762"/>
      <c r="O85" s="762"/>
      <c r="P85" s="762"/>
      <c r="Q85" s="762"/>
      <c r="R85" s="762"/>
      <c r="S85" s="762"/>
      <c r="T85" s="762"/>
      <c r="U85" s="762"/>
      <c r="V85" s="762"/>
      <c r="W85" s="762"/>
      <c r="X85" s="763"/>
    </row>
    <row r="86" spans="2:24" ht="23.1" customHeight="1">
      <c r="B86" s="28"/>
      <c r="C86" s="895" t="s">
        <v>336</v>
      </c>
      <c r="D86" s="630" t="s">
        <v>530</v>
      </c>
      <c r="E86" s="940"/>
      <c r="F86" s="940"/>
      <c r="G86" s="941"/>
      <c r="H86" s="942"/>
      <c r="I86" s="30"/>
      <c r="K86" s="761"/>
      <c r="L86" s="762"/>
      <c r="M86" s="762"/>
      <c r="N86" s="762"/>
      <c r="O86" s="762"/>
      <c r="P86" s="762"/>
      <c r="Q86" s="762"/>
      <c r="R86" s="762"/>
      <c r="S86" s="762"/>
      <c r="T86" s="762"/>
      <c r="U86" s="762"/>
      <c r="V86" s="762"/>
      <c r="W86" s="762"/>
      <c r="X86" s="763"/>
    </row>
    <row r="87" spans="2:24" ht="23.1" customHeight="1">
      <c r="B87" s="28"/>
      <c r="C87" s="895" t="s">
        <v>338</v>
      </c>
      <c r="D87" s="630" t="s">
        <v>531</v>
      </c>
      <c r="E87" s="940"/>
      <c r="F87" s="940"/>
      <c r="G87" s="941"/>
      <c r="H87" s="942"/>
      <c r="I87" s="30"/>
      <c r="K87" s="761"/>
      <c r="L87" s="801"/>
      <c r="M87" s="801"/>
      <c r="N87" s="762"/>
      <c r="O87" s="762"/>
      <c r="P87" s="762"/>
      <c r="Q87" s="762"/>
      <c r="R87" s="762"/>
      <c r="S87" s="762"/>
      <c r="T87" s="762"/>
      <c r="U87" s="762"/>
      <c r="V87" s="762"/>
      <c r="W87" s="762"/>
      <c r="X87" s="763"/>
    </row>
    <row r="88" spans="2:24" ht="23.1" customHeight="1">
      <c r="B88" s="28"/>
      <c r="C88" s="895" t="s">
        <v>340</v>
      </c>
      <c r="D88" s="630" t="s">
        <v>532</v>
      </c>
      <c r="E88" s="940"/>
      <c r="F88" s="940"/>
      <c r="G88" s="941"/>
      <c r="H88" s="942"/>
      <c r="I88" s="30"/>
      <c r="K88" s="761"/>
      <c r="L88" s="801"/>
      <c r="M88" s="801"/>
      <c r="N88" s="762"/>
      <c r="O88" s="762"/>
      <c r="P88" s="762"/>
      <c r="Q88" s="762"/>
      <c r="R88" s="762"/>
      <c r="S88" s="762"/>
      <c r="T88" s="762"/>
      <c r="U88" s="762"/>
      <c r="V88" s="762"/>
      <c r="W88" s="762"/>
      <c r="X88" s="763"/>
    </row>
    <row r="89" spans="2:24" ht="23.1" customHeight="1">
      <c r="B89" s="28"/>
      <c r="C89" s="895" t="s">
        <v>513</v>
      </c>
      <c r="D89" s="630" t="s">
        <v>533</v>
      </c>
      <c r="E89" s="940"/>
      <c r="F89" s="940"/>
      <c r="G89" s="941"/>
      <c r="H89" s="942"/>
      <c r="I89" s="30"/>
      <c r="K89" s="761"/>
      <c r="L89" s="762"/>
      <c r="M89" s="762"/>
      <c r="N89" s="762"/>
      <c r="O89" s="762"/>
      <c r="P89" s="762"/>
      <c r="Q89" s="762"/>
      <c r="R89" s="762"/>
      <c r="S89" s="762"/>
      <c r="T89" s="762"/>
      <c r="U89" s="762"/>
      <c r="V89" s="762"/>
      <c r="W89" s="762"/>
      <c r="X89" s="763"/>
    </row>
    <row r="90" spans="2:24" ht="23.1" customHeight="1">
      <c r="B90" s="28"/>
      <c r="C90" s="895" t="s">
        <v>351</v>
      </c>
      <c r="D90" s="630" t="s">
        <v>534</v>
      </c>
      <c r="E90" s="940"/>
      <c r="F90" s="940"/>
      <c r="G90" s="941"/>
      <c r="H90" s="942"/>
      <c r="I90" s="30"/>
      <c r="K90" s="761"/>
      <c r="L90" s="762"/>
      <c r="M90" s="762"/>
      <c r="N90" s="762"/>
      <c r="O90" s="762"/>
      <c r="P90" s="762"/>
      <c r="Q90" s="762"/>
      <c r="R90" s="762"/>
      <c r="S90" s="762"/>
      <c r="T90" s="762"/>
      <c r="U90" s="762"/>
      <c r="V90" s="762"/>
      <c r="W90" s="762"/>
      <c r="X90" s="763"/>
    </row>
    <row r="91" spans="2:24" s="45" customFormat="1" ht="23.1" customHeight="1">
      <c r="B91" s="10"/>
      <c r="C91" s="225" t="s">
        <v>538</v>
      </c>
      <c r="D91" s="43" t="s">
        <v>568</v>
      </c>
      <c r="E91" s="273"/>
      <c r="F91" s="273"/>
      <c r="G91" s="274"/>
      <c r="H91" s="275"/>
      <c r="I91" s="37"/>
      <c r="K91" s="761"/>
      <c r="L91" s="762"/>
      <c r="M91" s="762"/>
      <c r="N91" s="762"/>
      <c r="O91" s="762"/>
      <c r="P91" s="762"/>
      <c r="Q91" s="762"/>
      <c r="R91" s="762"/>
      <c r="S91" s="762"/>
      <c r="T91" s="762"/>
      <c r="U91" s="762"/>
      <c r="V91" s="762"/>
      <c r="W91" s="762"/>
      <c r="X91" s="763"/>
    </row>
    <row r="92" spans="2:24" ht="23.1" customHeight="1">
      <c r="B92" s="28"/>
      <c r="C92" s="225" t="s">
        <v>540</v>
      </c>
      <c r="D92" s="43" t="s">
        <v>569</v>
      </c>
      <c r="E92" s="206">
        <f>SUM(E93:E94)</f>
        <v>1853393.52</v>
      </c>
      <c r="F92" s="206">
        <f>SUM(F93:F94)</f>
        <v>2933045.86</v>
      </c>
      <c r="G92" s="212">
        <f>SUM(G93:G94)</f>
        <v>1746440.94</v>
      </c>
      <c r="H92" s="226">
        <f>SUM(H93:H94)</f>
        <v>953404.7</v>
      </c>
      <c r="I92" s="30"/>
      <c r="K92" s="800">
        <f>+F92-G92</f>
        <v>1186604.92</v>
      </c>
      <c r="L92" s="762"/>
      <c r="M92" s="762"/>
      <c r="N92" s="762"/>
      <c r="O92" s="762"/>
      <c r="P92" s="762"/>
      <c r="Q92" s="762"/>
      <c r="R92" s="762"/>
      <c r="S92" s="762"/>
      <c r="T92" s="762"/>
      <c r="U92" s="762"/>
      <c r="V92" s="762"/>
      <c r="W92" s="762"/>
      <c r="X92" s="763"/>
    </row>
    <row r="93" spans="2:24" ht="23.1" customHeight="1">
      <c r="B93" s="28"/>
      <c r="C93" s="895" t="s">
        <v>328</v>
      </c>
      <c r="D93" s="630" t="s">
        <v>570</v>
      </c>
      <c r="E93" s="940">
        <v>1853393.52</v>
      </c>
      <c r="F93" s="940">
        <v>2933045.86</v>
      </c>
      <c r="G93" s="941">
        <v>1746440.94</v>
      </c>
      <c r="H93" s="942">
        <v>953404.7</v>
      </c>
      <c r="I93" s="30"/>
      <c r="K93" s="800">
        <f>F93-G93</f>
        <v>1186604.92</v>
      </c>
      <c r="L93" s="762"/>
      <c r="M93" s="762"/>
      <c r="N93" s="762"/>
      <c r="O93" s="762"/>
      <c r="P93" s="762"/>
      <c r="Q93" s="762"/>
      <c r="R93" s="762"/>
      <c r="S93" s="762"/>
      <c r="T93" s="762"/>
      <c r="U93" s="762"/>
      <c r="V93" s="762"/>
      <c r="W93" s="762"/>
      <c r="X93" s="763"/>
    </row>
    <row r="94" spans="2:24" ht="23.1" customHeight="1">
      <c r="B94" s="28"/>
      <c r="C94" s="946" t="s">
        <v>336</v>
      </c>
      <c r="D94" s="947" t="s">
        <v>571</v>
      </c>
      <c r="E94" s="948"/>
      <c r="F94" s="948"/>
      <c r="G94" s="949"/>
      <c r="H94" s="950"/>
      <c r="I94" s="30"/>
      <c r="K94" s="761"/>
      <c r="L94" s="762"/>
      <c r="M94" s="762"/>
      <c r="N94" s="762"/>
      <c r="O94" s="762"/>
      <c r="P94" s="762"/>
      <c r="Q94" s="762"/>
      <c r="R94" s="762"/>
      <c r="S94" s="762"/>
      <c r="T94" s="762"/>
      <c r="U94" s="762"/>
      <c r="V94" s="762"/>
      <c r="W94" s="762"/>
      <c r="X94" s="763"/>
    </row>
    <row r="95" spans="2:24" ht="23.1" customHeight="1">
      <c r="B95" s="28"/>
      <c r="C95" s="951"/>
      <c r="D95" s="412"/>
      <c r="E95" s="207"/>
      <c r="F95" s="207"/>
      <c r="G95" s="213"/>
      <c r="H95" s="200"/>
      <c r="I95" s="30"/>
      <c r="K95" s="761"/>
      <c r="L95" s="762"/>
      <c r="M95" s="762"/>
      <c r="N95" s="762"/>
      <c r="O95" s="762"/>
      <c r="P95" s="762"/>
      <c r="Q95" s="762"/>
      <c r="R95" s="762"/>
      <c r="S95" s="762"/>
      <c r="T95" s="762"/>
      <c r="U95" s="762"/>
      <c r="V95" s="762"/>
      <c r="W95" s="762"/>
      <c r="X95" s="763"/>
    </row>
    <row r="96" spans="2:24" s="51" customFormat="1" ht="23.1" customHeight="1" thickBot="1">
      <c r="B96" s="49"/>
      <c r="C96" s="104" t="s">
        <v>572</v>
      </c>
      <c r="D96" s="48"/>
      <c r="E96" s="208">
        <f>E50+E16</f>
        <v>24203453.780000001</v>
      </c>
      <c r="F96" s="208">
        <f>F50+F16</f>
        <v>24759402.469999999</v>
      </c>
      <c r="G96" s="214">
        <f>G50+G16</f>
        <v>24494046.160000004</v>
      </c>
      <c r="H96" s="201">
        <f>H50+H16</f>
        <v>26603908.950000003</v>
      </c>
      <c r="I96" s="50"/>
      <c r="K96" s="761"/>
      <c r="L96" s="762"/>
      <c r="M96" s="762"/>
      <c r="N96" s="762"/>
      <c r="O96" s="762"/>
      <c r="P96" s="762"/>
      <c r="Q96" s="762"/>
      <c r="R96" s="762"/>
      <c r="S96" s="762"/>
      <c r="T96" s="762"/>
      <c r="U96" s="762"/>
      <c r="V96" s="762"/>
      <c r="W96" s="762"/>
      <c r="X96" s="763"/>
    </row>
    <row r="97" spans="2:24" ht="23.1" customHeight="1" thickBot="1">
      <c r="B97" s="32"/>
      <c r="C97" s="1228"/>
      <c r="D97" s="1228"/>
      <c r="E97" s="1228"/>
      <c r="F97" s="1228"/>
      <c r="G97" s="1228"/>
      <c r="H97" s="34"/>
      <c r="I97" s="35"/>
      <c r="K97" s="764"/>
      <c r="L97" s="765"/>
      <c r="M97" s="765"/>
      <c r="N97" s="765"/>
      <c r="O97" s="765"/>
      <c r="P97" s="765"/>
      <c r="Q97" s="765"/>
      <c r="R97" s="765"/>
      <c r="S97" s="765"/>
      <c r="T97" s="765"/>
      <c r="U97" s="765"/>
      <c r="V97" s="765"/>
      <c r="W97" s="765"/>
      <c r="X97" s="766"/>
    </row>
    <row r="98" spans="2:24" ht="23.1" customHeight="1">
      <c r="J98" s="23" t="s">
        <v>248</v>
      </c>
    </row>
    <row r="99" spans="2:24" ht="12.75">
      <c r="C99" s="19" t="s">
        <v>98</v>
      </c>
      <c r="H99" s="22" t="s">
        <v>573</v>
      </c>
    </row>
    <row r="100" spans="2:24" ht="12.75">
      <c r="C100" s="19" t="s">
        <v>100</v>
      </c>
    </row>
    <row r="101" spans="2:24" ht="12.75">
      <c r="C101" s="19" t="s">
        <v>101</v>
      </c>
    </row>
    <row r="102" spans="2:24" ht="12.75">
      <c r="C102" s="19" t="s">
        <v>102</v>
      </c>
    </row>
    <row r="103" spans="2:24" ht="12.75">
      <c r="C103" s="19" t="s">
        <v>103</v>
      </c>
    </row>
    <row r="104" spans="2:24" ht="66" customHeight="1">
      <c r="E104" s="327"/>
      <c r="F104" s="327"/>
      <c r="G104" s="325"/>
      <c r="H104" s="325"/>
    </row>
  </sheetData>
  <sheetProtection sheet="1" objects="1" scenarios="1"/>
  <mergeCells count="3">
    <mergeCell ref="H6:H7"/>
    <mergeCell ref="D9:H9"/>
    <mergeCell ref="C97:G97"/>
  </mergeCells>
  <phoneticPr fontId="5" type="noConversion"/>
  <printOptions horizontalCentered="1" verticalCentered="1"/>
  <pageMargins left="0.35629921259842523" right="0.35629921259842523" top="0.60629921259842523" bottom="0.60629921259842523" header="0.5" footer="0.5"/>
  <pageSetup paperSize="9" scale="34" orientation="portrait" horizontalDpi="4294967292" verticalDpi="4294967292" r:id="rId1"/>
  <ignoredErrors>
    <ignoredError sqref="G73 E73" unlockedFormula="1"/>
  </ignoredErrors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1183C1D-0116-4E8D-B6C7-BA73D866B9C4}">
  <sheetPr codeName="Hoja8">
    <pageSetUpPr fitToPage="1"/>
  </sheetPr>
  <dimension ref="A2:X102"/>
  <sheetViews>
    <sheetView topLeftCell="A39" zoomScale="115" zoomScaleNormal="115" workbookViewId="0">
      <selection activeCell="H51" sqref="H51"/>
    </sheetView>
  </sheetViews>
  <sheetFormatPr baseColWidth="10" defaultColWidth="10.6640625" defaultRowHeight="23.1" customHeight="1"/>
  <cols>
    <col min="1" max="1" width="4.109375" style="23" bestFit="1" customWidth="1"/>
    <col min="2" max="2" width="3.109375" style="23" customWidth="1"/>
    <col min="3" max="3" width="13.5546875" style="23" customWidth="1"/>
    <col min="4" max="4" width="76.6640625" style="23" customWidth="1"/>
    <col min="5" max="8" width="18.33203125" style="23" customWidth="1"/>
    <col min="9" max="9" width="3.33203125" style="23" customWidth="1"/>
    <col min="10" max="16384" width="10.6640625" style="23"/>
  </cols>
  <sheetData>
    <row r="2" spans="1:24" ht="23.1" customHeight="1">
      <c r="D2" s="391" t="str">
        <f>_GENERAL!D2</f>
        <v>Área de la Presidenta: Igualdad y Diversidad, Hacienda y Proyectos Estratégicos</v>
      </c>
    </row>
    <row r="3" spans="1:24" ht="23.1" customHeight="1">
      <c r="D3" s="391" t="str">
        <f>_GENERAL!D3</f>
        <v>Dirección Insular de Hacienda</v>
      </c>
    </row>
    <row r="4" spans="1:24" ht="23.1" customHeight="1" thickBot="1">
      <c r="A4" s="23" t="s">
        <v>195</v>
      </c>
    </row>
    <row r="5" spans="1:24" ht="9" customHeight="1">
      <c r="B5" s="25"/>
      <c r="C5" s="26"/>
      <c r="D5" s="26"/>
      <c r="E5" s="26"/>
      <c r="F5" s="26"/>
      <c r="G5" s="26"/>
      <c r="H5" s="26"/>
      <c r="I5" s="27"/>
      <c r="K5" s="746"/>
      <c r="L5" s="747"/>
      <c r="M5" s="747"/>
      <c r="N5" s="747"/>
      <c r="O5" s="747"/>
      <c r="P5" s="747"/>
      <c r="Q5" s="747"/>
      <c r="R5" s="747"/>
      <c r="S5" s="747"/>
      <c r="T5" s="747"/>
      <c r="U5" s="747"/>
      <c r="V5" s="747"/>
      <c r="W5" s="747"/>
      <c r="X5" s="748"/>
    </row>
    <row r="6" spans="1:24" ht="30" customHeight="1">
      <c r="B6" s="28"/>
      <c r="C6" s="1" t="s">
        <v>2</v>
      </c>
      <c r="H6" s="1212">
        <f>ejercicio</f>
        <v>2025</v>
      </c>
      <c r="I6" s="30"/>
      <c r="K6" s="751"/>
      <c r="L6" s="752"/>
      <c r="M6" s="752"/>
      <c r="N6" s="752"/>
      <c r="O6" s="752"/>
      <c r="P6" s="752"/>
      <c r="Q6" s="752"/>
      <c r="R6" s="752"/>
      <c r="S6" s="752"/>
      <c r="T6" s="752"/>
      <c r="U6" s="752"/>
      <c r="V6" s="752"/>
      <c r="W6" s="752"/>
      <c r="X6" s="753"/>
    </row>
    <row r="7" spans="1:24" ht="30" customHeight="1">
      <c r="B7" s="28"/>
      <c r="C7" s="1" t="s">
        <v>3</v>
      </c>
      <c r="H7" s="1212"/>
      <c r="I7" s="30"/>
      <c r="K7" s="754"/>
      <c r="L7" s="755" t="s">
        <v>196</v>
      </c>
      <c r="M7" s="756"/>
      <c r="N7" s="756"/>
      <c r="O7" s="756"/>
      <c r="P7" s="756"/>
      <c r="Q7" s="756"/>
      <c r="R7" s="756"/>
      <c r="S7" s="756"/>
      <c r="T7" s="756"/>
      <c r="U7" s="756"/>
      <c r="V7" s="756"/>
      <c r="W7" s="756"/>
      <c r="X7" s="757"/>
    </row>
    <row r="8" spans="1:24" ht="30" customHeight="1">
      <c r="B8" s="28"/>
      <c r="C8" s="29"/>
      <c r="H8" s="31"/>
      <c r="I8" s="30"/>
      <c r="K8" s="754"/>
      <c r="L8" s="756"/>
      <c r="M8" s="756"/>
      <c r="N8" s="756"/>
      <c r="O8" s="756"/>
      <c r="P8" s="756"/>
      <c r="Q8" s="756"/>
      <c r="R8" s="756"/>
      <c r="S8" s="756"/>
      <c r="T8" s="756"/>
      <c r="U8" s="756"/>
      <c r="V8" s="756"/>
      <c r="W8" s="756"/>
      <c r="X8" s="757"/>
    </row>
    <row r="9" spans="1:24" s="36" customFormat="1" ht="30" customHeight="1">
      <c r="A9" s="412"/>
      <c r="B9" s="874"/>
      <c r="C9" s="20" t="s">
        <v>105</v>
      </c>
      <c r="D9" s="1229" t="str">
        <f>Entidad</f>
        <v>(MERCATENERIFE) Mercados Centrales de Abastecimiento de Tenerife, S.A.</v>
      </c>
      <c r="E9" s="1229"/>
      <c r="F9" s="1229"/>
      <c r="G9" s="1229"/>
      <c r="H9" s="1229"/>
      <c r="I9" s="875"/>
      <c r="J9" s="412"/>
      <c r="K9" s="751"/>
      <c r="L9" s="752"/>
      <c r="M9" s="752"/>
      <c r="N9" s="752"/>
      <c r="O9" s="752"/>
      <c r="P9" s="752"/>
      <c r="Q9" s="752"/>
      <c r="R9" s="752"/>
      <c r="S9" s="752"/>
      <c r="T9" s="752"/>
      <c r="U9" s="752"/>
      <c r="V9" s="752"/>
      <c r="W9" s="752"/>
      <c r="X9" s="753"/>
    </row>
    <row r="10" spans="1:24" ht="6.95" customHeight="1">
      <c r="B10" s="28"/>
      <c r="I10" s="30"/>
      <c r="K10" s="751"/>
      <c r="L10" s="752"/>
      <c r="M10" s="752"/>
      <c r="N10" s="752"/>
      <c r="O10" s="752"/>
      <c r="P10" s="752"/>
      <c r="Q10" s="752"/>
      <c r="R10" s="752"/>
      <c r="S10" s="752"/>
      <c r="T10" s="752"/>
      <c r="U10" s="752"/>
      <c r="V10" s="752"/>
      <c r="W10" s="752"/>
      <c r="X10" s="753"/>
    </row>
    <row r="11" spans="1:24" s="38" customFormat="1" ht="30" customHeight="1">
      <c r="B11" s="10"/>
      <c r="C11" s="4" t="s">
        <v>574</v>
      </c>
      <c r="D11" s="4"/>
      <c r="E11" s="4"/>
      <c r="F11" s="4"/>
      <c r="G11" s="4"/>
      <c r="H11" s="4"/>
      <c r="I11" s="37"/>
      <c r="K11" s="751"/>
      <c r="L11" s="752"/>
      <c r="M11" s="752"/>
      <c r="N11" s="752"/>
      <c r="O11" s="752"/>
      <c r="P11" s="752"/>
      <c r="Q11" s="752"/>
      <c r="R11" s="752"/>
      <c r="S11" s="752"/>
      <c r="T11" s="752"/>
      <c r="U11" s="752"/>
      <c r="V11" s="752"/>
      <c r="W11" s="752"/>
      <c r="X11" s="753"/>
    </row>
    <row r="12" spans="1:24" s="38" customFormat="1" ht="30" customHeight="1">
      <c r="B12" s="10"/>
      <c r="I12" s="37"/>
      <c r="K12" s="751"/>
      <c r="L12" s="752"/>
      <c r="M12" s="752"/>
      <c r="N12" s="752"/>
      <c r="O12" s="752"/>
      <c r="P12" s="752"/>
      <c r="Q12" s="752"/>
      <c r="R12" s="752"/>
      <c r="S12" s="752"/>
      <c r="T12" s="752"/>
      <c r="U12" s="752"/>
      <c r="V12" s="752"/>
      <c r="W12" s="752"/>
      <c r="X12" s="753"/>
    </row>
    <row r="13" spans="1:24" ht="23.1" customHeight="1">
      <c r="B13" s="28"/>
      <c r="C13" s="145"/>
      <c r="D13" s="146"/>
      <c r="E13" s="217" t="s">
        <v>322</v>
      </c>
      <c r="F13" s="716" t="s">
        <v>323</v>
      </c>
      <c r="G13" s="218" t="s">
        <v>324</v>
      </c>
      <c r="H13" s="219" t="s">
        <v>325</v>
      </c>
      <c r="I13" s="30"/>
      <c r="K13" s="751"/>
      <c r="L13" s="752"/>
      <c r="M13" s="752"/>
      <c r="N13" s="752"/>
      <c r="O13" s="752"/>
      <c r="P13" s="752"/>
      <c r="Q13" s="752"/>
      <c r="R13" s="752"/>
      <c r="S13" s="752"/>
      <c r="T13" s="752"/>
      <c r="U13" s="752"/>
      <c r="V13" s="752"/>
      <c r="W13" s="752"/>
      <c r="X13" s="753"/>
    </row>
    <row r="14" spans="1:24" ht="23.1" customHeight="1">
      <c r="B14" s="28"/>
      <c r="C14" s="147" t="s">
        <v>575</v>
      </c>
      <c r="D14" s="41"/>
      <c r="E14" s="203">
        <f>ejercicio-2</f>
        <v>2023</v>
      </c>
      <c r="F14" s="209">
        <f>ejercicio-1</f>
        <v>2024</v>
      </c>
      <c r="G14" s="209">
        <f>ejercicio-1</f>
        <v>2024</v>
      </c>
      <c r="H14" s="202">
        <f>ejercicio</f>
        <v>2025</v>
      </c>
      <c r="I14" s="30"/>
      <c r="K14" s="751"/>
      <c r="L14" s="752"/>
      <c r="M14" s="752"/>
      <c r="N14" s="752"/>
      <c r="O14" s="752"/>
      <c r="P14" s="752"/>
      <c r="Q14" s="752"/>
      <c r="R14" s="752"/>
      <c r="S14" s="752"/>
      <c r="T14" s="752"/>
      <c r="U14" s="752"/>
      <c r="V14" s="752"/>
      <c r="W14" s="752"/>
      <c r="X14" s="753"/>
    </row>
    <row r="15" spans="1:24" ht="23.1" customHeight="1">
      <c r="B15" s="28"/>
      <c r="C15" s="95"/>
      <c r="D15" s="55"/>
      <c r="E15" s="90"/>
      <c r="F15" s="90"/>
      <c r="G15" s="90"/>
      <c r="H15" s="96"/>
      <c r="I15" s="30"/>
      <c r="K15" s="751"/>
      <c r="L15" s="752"/>
      <c r="M15" s="752"/>
      <c r="N15" s="752"/>
      <c r="O15" s="752"/>
      <c r="P15" s="752"/>
      <c r="Q15" s="752"/>
      <c r="R15" s="752"/>
      <c r="S15" s="752"/>
      <c r="T15" s="752"/>
      <c r="U15" s="752"/>
      <c r="V15" s="752"/>
      <c r="W15" s="752"/>
      <c r="X15" s="753"/>
    </row>
    <row r="16" spans="1:24" ht="23.1" customHeight="1">
      <c r="B16" s="28"/>
      <c r="C16" s="97" t="s">
        <v>326</v>
      </c>
      <c r="D16" s="53" t="s">
        <v>576</v>
      </c>
      <c r="E16" s="91">
        <f>E17+E35+E41</f>
        <v>22846505.819999997</v>
      </c>
      <c r="F16" s="91">
        <f>F17+F35+F41</f>
        <v>23909318.18</v>
      </c>
      <c r="G16" s="91">
        <f>G17+G35+G41</f>
        <v>23544960.509999998</v>
      </c>
      <c r="H16" s="98">
        <f>H17+H35+H41</f>
        <v>24135941.420000002</v>
      </c>
      <c r="I16" s="30"/>
      <c r="K16" s="751"/>
      <c r="L16" s="752"/>
      <c r="M16" s="752"/>
      <c r="N16" s="752"/>
      <c r="O16" s="752"/>
      <c r="P16" s="752"/>
      <c r="Q16" s="752"/>
      <c r="R16" s="752"/>
      <c r="S16" s="752"/>
      <c r="T16" s="752"/>
      <c r="U16" s="752"/>
      <c r="V16" s="752"/>
      <c r="W16" s="752"/>
      <c r="X16" s="753"/>
    </row>
    <row r="17" spans="2:24" ht="23.1" customHeight="1">
      <c r="B17" s="28"/>
      <c r="C17" s="99" t="s">
        <v>395</v>
      </c>
      <c r="D17" s="43" t="s">
        <v>577</v>
      </c>
      <c r="E17" s="92">
        <f>+E18+E21+E22+E27+E28+E31+E32+E33+E34</f>
        <v>22608575.009999998</v>
      </c>
      <c r="F17" s="92">
        <f>+F18+F21+F22+F27+F28+F31+F32+F33+F34</f>
        <v>23375972.100000001</v>
      </c>
      <c r="G17" s="92">
        <f>+G18+G21+G22+G27+G28+G31+G32+G33+G34</f>
        <v>23326622.43</v>
      </c>
      <c r="H17" s="100">
        <f>+H18+H21+H22+H27+H28+H31+H32+H33+H34</f>
        <v>23937196.07</v>
      </c>
      <c r="I17" s="30"/>
      <c r="K17" s="751"/>
      <c r="L17" s="752"/>
      <c r="M17" s="752"/>
      <c r="N17" s="752"/>
      <c r="O17" s="752"/>
      <c r="P17" s="752"/>
      <c r="Q17" s="752"/>
      <c r="R17" s="752"/>
      <c r="S17" s="752"/>
      <c r="T17" s="752"/>
      <c r="U17" s="752"/>
      <c r="V17" s="752"/>
      <c r="W17" s="752"/>
      <c r="X17" s="753"/>
    </row>
    <row r="18" spans="2:24" ht="23.1" customHeight="1">
      <c r="B18" s="28"/>
      <c r="C18" s="99" t="s">
        <v>507</v>
      </c>
      <c r="D18" s="43" t="s">
        <v>578</v>
      </c>
      <c r="E18" s="92">
        <f>SUM(E19:E20)</f>
        <v>5133681.9000000004</v>
      </c>
      <c r="F18" s="92">
        <f>SUM(F19:F20)</f>
        <v>5133681.9000000004</v>
      </c>
      <c r="G18" s="92">
        <f>SUM(G19:G20)</f>
        <v>5133681.9000000004</v>
      </c>
      <c r="H18" s="100">
        <f>SUM(H19:H20)</f>
        <v>5133681.9000000004</v>
      </c>
      <c r="I18" s="30"/>
      <c r="K18" s="751"/>
      <c r="L18" s="752"/>
      <c r="M18" s="752"/>
      <c r="N18" s="752"/>
      <c r="O18" s="752"/>
      <c r="P18" s="752"/>
      <c r="Q18" s="752"/>
      <c r="R18" s="752"/>
      <c r="S18" s="752"/>
      <c r="T18" s="752"/>
      <c r="U18" s="752"/>
      <c r="V18" s="752"/>
      <c r="W18" s="752"/>
      <c r="X18" s="753"/>
    </row>
    <row r="19" spans="2:24" ht="23.1" customHeight="1">
      <c r="B19" s="28"/>
      <c r="C19" s="952" t="s">
        <v>328</v>
      </c>
      <c r="D19" s="629" t="s">
        <v>579</v>
      </c>
      <c r="E19" s="821">
        <v>5133681.9000000004</v>
      </c>
      <c r="F19" s="821">
        <v>5133681.9000000004</v>
      </c>
      <c r="G19" s="821">
        <v>5133681.9000000004</v>
      </c>
      <c r="H19" s="953">
        <v>5133681.9000000004</v>
      </c>
      <c r="I19" s="30"/>
      <c r="K19" s="751"/>
      <c r="L19" s="752"/>
      <c r="M19" s="752"/>
      <c r="N19" s="752"/>
      <c r="O19" s="752"/>
      <c r="P19" s="752"/>
      <c r="Q19" s="752"/>
      <c r="R19" s="752"/>
      <c r="S19" s="752"/>
      <c r="T19" s="752"/>
      <c r="U19" s="752"/>
      <c r="V19" s="752"/>
      <c r="W19" s="752"/>
      <c r="X19" s="753"/>
    </row>
    <row r="20" spans="2:24" ht="23.1" customHeight="1">
      <c r="B20" s="28"/>
      <c r="C20" s="954" t="s">
        <v>336</v>
      </c>
      <c r="D20" s="630" t="s">
        <v>580</v>
      </c>
      <c r="E20" s="822"/>
      <c r="F20" s="822"/>
      <c r="G20" s="822"/>
      <c r="H20" s="955"/>
      <c r="I20" s="30"/>
      <c r="K20" s="751"/>
      <c r="L20" s="752"/>
      <c r="M20" s="752"/>
      <c r="N20" s="752"/>
      <c r="O20" s="752"/>
      <c r="P20" s="752"/>
      <c r="Q20" s="752"/>
      <c r="R20" s="752"/>
      <c r="S20" s="752"/>
      <c r="T20" s="752"/>
      <c r="U20" s="752"/>
      <c r="V20" s="752"/>
      <c r="W20" s="752"/>
      <c r="X20" s="753"/>
    </row>
    <row r="21" spans="2:24" ht="23.1" customHeight="1">
      <c r="B21" s="28"/>
      <c r="C21" s="99" t="s">
        <v>518</v>
      </c>
      <c r="D21" s="43" t="s">
        <v>581</v>
      </c>
      <c r="E21" s="272"/>
      <c r="F21" s="272"/>
      <c r="G21" s="272"/>
      <c r="H21" s="276"/>
      <c r="I21" s="30"/>
      <c r="K21" s="751"/>
      <c r="L21" s="752"/>
      <c r="M21" s="752"/>
      <c r="N21" s="752"/>
      <c r="O21" s="752"/>
      <c r="P21" s="752"/>
      <c r="Q21" s="752"/>
      <c r="R21" s="752"/>
      <c r="S21" s="752"/>
      <c r="T21" s="752"/>
      <c r="U21" s="752"/>
      <c r="V21" s="752"/>
      <c r="W21" s="752"/>
      <c r="X21" s="753"/>
    </row>
    <row r="22" spans="2:24" ht="23.1" customHeight="1">
      <c r="B22" s="28"/>
      <c r="C22" s="99" t="s">
        <v>523</v>
      </c>
      <c r="D22" s="43" t="s">
        <v>582</v>
      </c>
      <c r="E22" s="92">
        <f>SUM(E23:E26)</f>
        <v>12452380.100000001</v>
      </c>
      <c r="F22" s="92">
        <f>SUM(F23:F26)</f>
        <v>16709755.850000001</v>
      </c>
      <c r="G22" s="92">
        <f>SUM(G23:G26)</f>
        <v>16474893.109999999</v>
      </c>
      <c r="H22" s="100">
        <f>SUM(H23:H26)</f>
        <v>17192940.530000001</v>
      </c>
      <c r="I22" s="30"/>
      <c r="K22" s="751"/>
      <c r="L22" s="752"/>
      <c r="M22" s="752"/>
      <c r="N22" s="752"/>
      <c r="O22" s="752"/>
      <c r="P22" s="752"/>
      <c r="Q22" s="752"/>
      <c r="R22" s="752"/>
      <c r="S22" s="752"/>
      <c r="T22" s="752"/>
      <c r="U22" s="752"/>
      <c r="V22" s="752"/>
      <c r="W22" s="752"/>
      <c r="X22" s="753"/>
    </row>
    <row r="23" spans="2:24" ht="23.1" customHeight="1">
      <c r="B23" s="28"/>
      <c r="C23" s="952" t="s">
        <v>328</v>
      </c>
      <c r="D23" s="629" t="s">
        <v>583</v>
      </c>
      <c r="E23" s="821">
        <v>1065120.1200000001</v>
      </c>
      <c r="F23" s="821">
        <v>1065120.1200000001</v>
      </c>
      <c r="G23" s="821">
        <v>1065120.1200000001</v>
      </c>
      <c r="H23" s="953">
        <v>1065120.1200000001</v>
      </c>
      <c r="I23" s="30"/>
      <c r="K23" s="751"/>
      <c r="L23" s="752"/>
      <c r="M23" s="752"/>
      <c r="N23" s="752"/>
      <c r="O23" s="752"/>
      <c r="P23" s="752"/>
      <c r="Q23" s="752"/>
      <c r="R23" s="752"/>
      <c r="S23" s="752"/>
      <c r="T23" s="752"/>
      <c r="U23" s="752"/>
      <c r="V23" s="752"/>
      <c r="W23" s="752"/>
      <c r="X23" s="753"/>
    </row>
    <row r="24" spans="2:24" ht="23.1" customHeight="1">
      <c r="B24" s="28"/>
      <c r="C24" s="954" t="s">
        <v>336</v>
      </c>
      <c r="D24" s="630" t="s">
        <v>584</v>
      </c>
      <c r="E24" s="822">
        <v>11387259.98</v>
      </c>
      <c r="F24" s="822">
        <v>15644635.73</v>
      </c>
      <c r="G24" s="822">
        <f>+'FC-4_1_MOV_FP'!L23</f>
        <v>15409772.99</v>
      </c>
      <c r="H24" s="955">
        <f>+'FC-4_1_MOV_FP'!L50</f>
        <v>16127820.41</v>
      </c>
      <c r="I24" s="30"/>
      <c r="K24" s="751"/>
      <c r="L24" s="752"/>
      <c r="M24" s="752"/>
      <c r="N24" s="752"/>
      <c r="O24" s="752"/>
      <c r="P24" s="752"/>
      <c r="Q24" s="752"/>
      <c r="R24" s="752"/>
      <c r="S24" s="752"/>
      <c r="T24" s="752"/>
      <c r="U24" s="752"/>
      <c r="V24" s="752"/>
      <c r="W24" s="752"/>
      <c r="X24" s="753"/>
    </row>
    <row r="25" spans="2:24" ht="23.1" customHeight="1">
      <c r="B25" s="28"/>
      <c r="C25" s="954" t="s">
        <v>338</v>
      </c>
      <c r="D25" s="630" t="s">
        <v>585</v>
      </c>
      <c r="E25" s="822"/>
      <c r="F25" s="822"/>
      <c r="G25" s="822"/>
      <c r="H25" s="955"/>
      <c r="I25" s="30"/>
      <c r="K25" s="751"/>
      <c r="L25" s="752"/>
      <c r="M25" s="752"/>
      <c r="N25" s="752"/>
      <c r="O25" s="752"/>
      <c r="P25" s="752"/>
      <c r="Q25" s="752"/>
      <c r="R25" s="752"/>
      <c r="S25" s="752"/>
      <c r="T25" s="752"/>
      <c r="U25" s="752"/>
      <c r="V25" s="752"/>
      <c r="W25" s="752"/>
      <c r="X25" s="753"/>
    </row>
    <row r="26" spans="2:24" ht="23.1" customHeight="1">
      <c r="B26" s="28"/>
      <c r="C26" s="954" t="s">
        <v>340</v>
      </c>
      <c r="D26" s="630" t="s">
        <v>586</v>
      </c>
      <c r="E26" s="822"/>
      <c r="F26" s="822"/>
      <c r="G26" s="822"/>
      <c r="H26" s="955"/>
      <c r="I26" s="30"/>
      <c r="K26" s="751"/>
      <c r="L26" s="752"/>
      <c r="M26" s="759"/>
      <c r="N26" s="759"/>
      <c r="O26" s="759"/>
      <c r="P26" s="759"/>
      <c r="Q26" s="759"/>
      <c r="R26" s="759"/>
      <c r="S26" s="759"/>
      <c r="T26" s="759"/>
      <c r="U26" s="759"/>
      <c r="V26" s="759"/>
      <c r="W26" s="759"/>
      <c r="X26" s="760"/>
    </row>
    <row r="27" spans="2:24" ht="23.1" customHeight="1">
      <c r="B27" s="28"/>
      <c r="C27" s="99" t="s">
        <v>527</v>
      </c>
      <c r="D27" s="43" t="s">
        <v>587</v>
      </c>
      <c r="E27" s="272"/>
      <c r="F27" s="272"/>
      <c r="G27" s="272"/>
      <c r="H27" s="276"/>
      <c r="I27" s="30"/>
      <c r="K27" s="751"/>
      <c r="L27" s="752"/>
      <c r="M27" s="759"/>
      <c r="N27" s="759"/>
      <c r="O27" s="759"/>
      <c r="P27" s="759"/>
      <c r="Q27" s="759"/>
      <c r="R27" s="759"/>
      <c r="S27" s="759"/>
      <c r="T27" s="759"/>
      <c r="U27" s="759"/>
      <c r="V27" s="759"/>
      <c r="W27" s="759"/>
      <c r="X27" s="760"/>
    </row>
    <row r="28" spans="2:24" ht="23.1" customHeight="1">
      <c r="B28" s="28"/>
      <c r="C28" s="99" t="s">
        <v>535</v>
      </c>
      <c r="D28" s="43" t="s">
        <v>588</v>
      </c>
      <c r="E28" s="92">
        <f>SUM(E29:E30)</f>
        <v>0</v>
      </c>
      <c r="F28" s="92">
        <f>SUM(F29:F30)</f>
        <v>0</v>
      </c>
      <c r="G28" s="92">
        <f>SUM(G29:G30)</f>
        <v>0</v>
      </c>
      <c r="H28" s="100">
        <f>SUM(H29:H30)</f>
        <v>0</v>
      </c>
      <c r="I28" s="30"/>
      <c r="K28" s="751"/>
      <c r="L28" s="752"/>
      <c r="M28" s="752"/>
      <c r="N28" s="752"/>
      <c r="O28" s="752"/>
      <c r="P28" s="752"/>
      <c r="Q28" s="752"/>
      <c r="R28" s="752"/>
      <c r="S28" s="752"/>
      <c r="T28" s="752"/>
      <c r="U28" s="752"/>
      <c r="V28" s="752"/>
      <c r="W28" s="752"/>
      <c r="X28" s="753"/>
    </row>
    <row r="29" spans="2:24" ht="23.1" customHeight="1">
      <c r="B29" s="28"/>
      <c r="C29" s="952" t="s">
        <v>328</v>
      </c>
      <c r="D29" s="629" t="s">
        <v>589</v>
      </c>
      <c r="E29" s="821"/>
      <c r="F29" s="821"/>
      <c r="G29" s="821"/>
      <c r="H29" s="953"/>
      <c r="I29" s="30"/>
      <c r="K29" s="751"/>
      <c r="L29" s="752"/>
      <c r="M29" s="752"/>
      <c r="N29" s="752"/>
      <c r="O29" s="752"/>
      <c r="P29" s="752"/>
      <c r="Q29" s="752"/>
      <c r="R29" s="752"/>
      <c r="S29" s="752"/>
      <c r="T29" s="752"/>
      <c r="U29" s="752"/>
      <c r="V29" s="752"/>
      <c r="W29" s="752"/>
      <c r="X29" s="753"/>
    </row>
    <row r="30" spans="2:24" ht="23.1" customHeight="1">
      <c r="B30" s="28"/>
      <c r="C30" s="954" t="s">
        <v>336</v>
      </c>
      <c r="D30" s="630" t="s">
        <v>590</v>
      </c>
      <c r="E30" s="822"/>
      <c r="F30" s="822"/>
      <c r="G30" s="822"/>
      <c r="H30" s="955"/>
      <c r="I30" s="30"/>
      <c r="K30" s="751"/>
      <c r="L30" s="752"/>
      <c r="M30" s="752"/>
      <c r="N30" s="752"/>
      <c r="O30" s="752"/>
      <c r="P30" s="752"/>
      <c r="Q30" s="752"/>
      <c r="R30" s="752"/>
      <c r="S30" s="752"/>
      <c r="T30" s="752"/>
      <c r="U30" s="752"/>
      <c r="V30" s="752"/>
      <c r="W30" s="752"/>
      <c r="X30" s="753"/>
    </row>
    <row r="31" spans="2:24" ht="23.1" customHeight="1">
      <c r="B31" s="28"/>
      <c r="C31" s="99" t="s">
        <v>538</v>
      </c>
      <c r="D31" s="43" t="s">
        <v>591</v>
      </c>
      <c r="E31" s="272"/>
      <c r="F31" s="272"/>
      <c r="G31" s="272"/>
      <c r="H31" s="276"/>
      <c r="I31" s="30"/>
      <c r="K31" s="751"/>
      <c r="L31" s="752"/>
      <c r="M31" s="752"/>
      <c r="N31" s="752"/>
      <c r="O31" s="752"/>
      <c r="P31" s="752"/>
      <c r="Q31" s="752"/>
      <c r="R31" s="752"/>
      <c r="S31" s="752"/>
      <c r="T31" s="752"/>
      <c r="U31" s="752"/>
      <c r="V31" s="752"/>
      <c r="W31" s="752"/>
      <c r="X31" s="753"/>
    </row>
    <row r="32" spans="2:24" ht="23.1" customHeight="1">
      <c r="B32" s="28"/>
      <c r="C32" s="99" t="s">
        <v>540</v>
      </c>
      <c r="D32" s="43" t="s">
        <v>592</v>
      </c>
      <c r="E32" s="272">
        <v>5022513.01</v>
      </c>
      <c r="F32" s="272">
        <v>1532534.35</v>
      </c>
      <c r="G32" s="272">
        <f>+'FC-3_CPyG'!G101</f>
        <v>1718047.4200000006</v>
      </c>
      <c r="H32" s="276">
        <f>+'FC-3_CPyG'!H101</f>
        <v>1610573.64</v>
      </c>
      <c r="I32" s="30"/>
      <c r="K32" s="761"/>
      <c r="L32" s="762"/>
      <c r="M32" s="762"/>
      <c r="N32" s="762"/>
      <c r="O32" s="762"/>
      <c r="P32" s="762"/>
      <c r="Q32" s="762"/>
      <c r="R32" s="762"/>
      <c r="S32" s="762"/>
      <c r="T32" s="762"/>
      <c r="U32" s="762"/>
      <c r="V32" s="762"/>
      <c r="W32" s="762"/>
      <c r="X32" s="763"/>
    </row>
    <row r="33" spans="2:24" ht="23.1" customHeight="1">
      <c r="B33" s="28"/>
      <c r="C33" s="99" t="s">
        <v>593</v>
      </c>
      <c r="D33" s="43" t="s">
        <v>594</v>
      </c>
      <c r="E33" s="272"/>
      <c r="F33" s="272"/>
      <c r="G33" s="272"/>
      <c r="H33" s="276"/>
      <c r="I33" s="30"/>
      <c r="K33" s="761"/>
      <c r="L33" s="762"/>
      <c r="M33" s="762"/>
      <c r="N33" s="762"/>
      <c r="O33" s="762"/>
      <c r="P33" s="762"/>
      <c r="Q33" s="762"/>
      <c r="R33" s="762"/>
      <c r="S33" s="762"/>
      <c r="T33" s="762"/>
      <c r="U33" s="762"/>
      <c r="V33" s="762"/>
      <c r="W33" s="762"/>
      <c r="X33" s="763"/>
    </row>
    <row r="34" spans="2:24" ht="23.1" customHeight="1">
      <c r="B34" s="28"/>
      <c r="C34" s="99" t="s">
        <v>595</v>
      </c>
      <c r="D34" s="43" t="s">
        <v>596</v>
      </c>
      <c r="E34" s="272"/>
      <c r="F34" s="272"/>
      <c r="G34" s="272"/>
      <c r="H34" s="276"/>
      <c r="I34" s="30"/>
      <c r="K34" s="761"/>
      <c r="L34" s="762"/>
      <c r="M34" s="762"/>
      <c r="N34" s="762"/>
      <c r="O34" s="762"/>
      <c r="P34" s="762"/>
      <c r="Q34" s="762"/>
      <c r="R34" s="762"/>
      <c r="S34" s="762"/>
      <c r="T34" s="762"/>
      <c r="U34" s="762"/>
      <c r="V34" s="762"/>
      <c r="W34" s="762"/>
      <c r="X34" s="763"/>
    </row>
    <row r="35" spans="2:24" ht="23.1" customHeight="1">
      <c r="B35" s="28"/>
      <c r="C35" s="99" t="s">
        <v>429</v>
      </c>
      <c r="D35" s="43" t="s">
        <v>597</v>
      </c>
      <c r="E35" s="92">
        <f>SUM(E36:E40)</f>
        <v>0</v>
      </c>
      <c r="F35" s="92">
        <f>SUM(F36:F40)</f>
        <v>0</v>
      </c>
      <c r="G35" s="92">
        <f>SUM(G36:G40)</f>
        <v>0</v>
      </c>
      <c r="H35" s="100">
        <f>SUM(H36:H40)</f>
        <v>0</v>
      </c>
      <c r="I35" s="30"/>
      <c r="K35" s="761"/>
      <c r="L35" s="762"/>
      <c r="M35" s="762"/>
      <c r="N35" s="762"/>
      <c r="O35" s="762"/>
      <c r="P35" s="762"/>
      <c r="Q35" s="762"/>
      <c r="R35" s="762"/>
      <c r="S35" s="762"/>
      <c r="T35" s="762"/>
      <c r="U35" s="762"/>
      <c r="V35" s="762"/>
      <c r="W35" s="762"/>
      <c r="X35" s="763"/>
    </row>
    <row r="36" spans="2:24" ht="23.1" customHeight="1">
      <c r="B36" s="28"/>
      <c r="C36" s="99" t="s">
        <v>507</v>
      </c>
      <c r="D36" s="43" t="s">
        <v>598</v>
      </c>
      <c r="E36" s="272"/>
      <c r="F36" s="272"/>
      <c r="G36" s="272"/>
      <c r="H36" s="276"/>
      <c r="I36" s="30"/>
      <c r="K36" s="761"/>
      <c r="L36" s="762"/>
      <c r="M36" s="762"/>
      <c r="N36" s="762"/>
      <c r="O36" s="762"/>
      <c r="P36" s="762"/>
      <c r="Q36" s="762"/>
      <c r="R36" s="762"/>
      <c r="S36" s="762"/>
      <c r="T36" s="762"/>
      <c r="U36" s="762"/>
      <c r="V36" s="762"/>
      <c r="W36" s="762"/>
      <c r="X36" s="763"/>
    </row>
    <row r="37" spans="2:24" ht="23.1" customHeight="1">
      <c r="B37" s="28"/>
      <c r="C37" s="99" t="s">
        <v>518</v>
      </c>
      <c r="D37" s="43" t="s">
        <v>599</v>
      </c>
      <c r="E37" s="272"/>
      <c r="F37" s="272"/>
      <c r="G37" s="272"/>
      <c r="H37" s="276"/>
      <c r="I37" s="30"/>
      <c r="K37" s="761"/>
      <c r="L37" s="762"/>
      <c r="M37" s="762"/>
      <c r="N37" s="762"/>
      <c r="O37" s="762"/>
      <c r="P37" s="762"/>
      <c r="Q37" s="762"/>
      <c r="R37" s="762"/>
      <c r="S37" s="762"/>
      <c r="T37" s="762"/>
      <c r="U37" s="762"/>
      <c r="V37" s="762"/>
      <c r="W37" s="762"/>
      <c r="X37" s="763"/>
    </row>
    <row r="38" spans="2:24" ht="23.1" customHeight="1">
      <c r="B38" s="28"/>
      <c r="C38" s="99" t="s">
        <v>523</v>
      </c>
      <c r="D38" s="43" t="s">
        <v>600</v>
      </c>
      <c r="E38" s="272"/>
      <c r="F38" s="272"/>
      <c r="G38" s="272"/>
      <c r="H38" s="276"/>
      <c r="I38" s="30"/>
      <c r="K38" s="761"/>
      <c r="L38" s="762"/>
      <c r="M38" s="762"/>
      <c r="N38" s="762"/>
      <c r="O38" s="762"/>
      <c r="P38" s="762"/>
      <c r="Q38" s="762"/>
      <c r="R38" s="762"/>
      <c r="S38" s="762"/>
      <c r="T38" s="762"/>
      <c r="U38" s="762"/>
      <c r="V38" s="762"/>
      <c r="W38" s="762"/>
      <c r="X38" s="763"/>
    </row>
    <row r="39" spans="2:24" ht="23.1" customHeight="1">
      <c r="B39" s="28"/>
      <c r="C39" s="99" t="s">
        <v>527</v>
      </c>
      <c r="D39" s="43" t="s">
        <v>601</v>
      </c>
      <c r="E39" s="272"/>
      <c r="F39" s="272"/>
      <c r="G39" s="272"/>
      <c r="H39" s="276"/>
      <c r="I39" s="30"/>
      <c r="K39" s="761"/>
      <c r="L39" s="762"/>
      <c r="M39" s="762"/>
      <c r="N39" s="762"/>
      <c r="O39" s="762"/>
      <c r="P39" s="762"/>
      <c r="Q39" s="762"/>
      <c r="R39" s="762"/>
      <c r="S39" s="762"/>
      <c r="T39" s="762"/>
      <c r="U39" s="762"/>
      <c r="V39" s="762"/>
      <c r="W39" s="762"/>
      <c r="X39" s="763"/>
    </row>
    <row r="40" spans="2:24" ht="23.1" customHeight="1">
      <c r="B40" s="28"/>
      <c r="C40" s="99" t="s">
        <v>535</v>
      </c>
      <c r="D40" s="43" t="s">
        <v>602</v>
      </c>
      <c r="E40" s="272"/>
      <c r="F40" s="272"/>
      <c r="G40" s="272"/>
      <c r="H40" s="276"/>
      <c r="I40" s="30"/>
      <c r="K40" s="761"/>
      <c r="L40" s="762"/>
      <c r="M40" s="762"/>
      <c r="N40" s="762"/>
      <c r="O40" s="762"/>
      <c r="P40" s="762"/>
      <c r="Q40" s="762"/>
      <c r="R40" s="762"/>
      <c r="S40" s="762"/>
      <c r="T40" s="762"/>
      <c r="U40" s="762"/>
      <c r="V40" s="762"/>
      <c r="W40" s="762"/>
      <c r="X40" s="763"/>
    </row>
    <row r="41" spans="2:24" ht="23.1" customHeight="1">
      <c r="B41" s="28"/>
      <c r="C41" s="99" t="s">
        <v>431</v>
      </c>
      <c r="D41" s="43" t="s">
        <v>603</v>
      </c>
      <c r="E41" s="272">
        <v>237930.81</v>
      </c>
      <c r="F41" s="272">
        <v>533346.07999999996</v>
      </c>
      <c r="G41" s="272">
        <f>+'FC-9_TRANS_SUBV'!H44</f>
        <v>218338.08</v>
      </c>
      <c r="H41" s="276">
        <f>+'FC-9_TRANS_SUBV'!K44</f>
        <v>198745.34999999998</v>
      </c>
      <c r="I41" s="30"/>
      <c r="K41" s="761"/>
      <c r="L41" s="762"/>
      <c r="M41" s="762"/>
      <c r="N41" s="762"/>
      <c r="O41" s="762"/>
      <c r="P41" s="762"/>
      <c r="Q41" s="762"/>
      <c r="R41" s="762"/>
      <c r="S41" s="762"/>
      <c r="T41" s="762"/>
      <c r="U41" s="762"/>
      <c r="V41" s="762"/>
      <c r="W41" s="762"/>
      <c r="X41" s="763"/>
    </row>
    <row r="42" spans="2:24" ht="23.1" customHeight="1">
      <c r="B42" s="28"/>
      <c r="C42" s="956"/>
      <c r="D42" s="412"/>
      <c r="E42" s="93"/>
      <c r="F42" s="93"/>
      <c r="G42" s="93"/>
      <c r="H42" s="101"/>
      <c r="I42" s="30"/>
      <c r="K42" s="761"/>
      <c r="L42" s="762"/>
      <c r="M42" s="762"/>
      <c r="N42" s="762"/>
      <c r="O42" s="762"/>
      <c r="P42" s="762"/>
      <c r="Q42" s="762"/>
      <c r="R42" s="762"/>
      <c r="S42" s="762"/>
      <c r="T42" s="762"/>
      <c r="U42" s="762"/>
      <c r="V42" s="762"/>
      <c r="W42" s="762"/>
      <c r="X42" s="763"/>
    </row>
    <row r="43" spans="2:24" ht="23.1" customHeight="1">
      <c r="B43" s="28"/>
      <c r="C43" s="97" t="s">
        <v>604</v>
      </c>
      <c r="D43" s="53" t="s">
        <v>605</v>
      </c>
      <c r="E43" s="91">
        <f>E44+E49+SUM(E57:E58)+E61+E62+E63</f>
        <v>681401.39</v>
      </c>
      <c r="F43" s="91">
        <f>F44+F49+SUM(F57:F58)+F61+F62+F63</f>
        <v>639894.1100000001</v>
      </c>
      <c r="G43" s="91">
        <f>G44+G49+SUM(G57:G58)+G61+G62+G63</f>
        <v>690955.29</v>
      </c>
      <c r="H43" s="91">
        <f>H44+H49+SUM(H57:H58)+H61+H62+H63</f>
        <v>2205800.04</v>
      </c>
      <c r="I43" s="30"/>
      <c r="K43" s="761"/>
      <c r="L43" s="762"/>
      <c r="M43" s="762"/>
      <c r="N43" s="762"/>
      <c r="O43" s="762"/>
      <c r="P43" s="762"/>
      <c r="Q43" s="762"/>
      <c r="R43" s="762"/>
      <c r="S43" s="762"/>
      <c r="T43" s="762"/>
      <c r="U43" s="762"/>
      <c r="V43" s="762"/>
      <c r="W43" s="762"/>
      <c r="X43" s="763"/>
    </row>
    <row r="44" spans="2:24" ht="23.1" customHeight="1">
      <c r="B44" s="28"/>
      <c r="C44" s="99" t="s">
        <v>507</v>
      </c>
      <c r="D44" s="43" t="s">
        <v>606</v>
      </c>
      <c r="E44" s="92">
        <f>SUM(E45:E48)</f>
        <v>0</v>
      </c>
      <c r="F44" s="92">
        <f>SUM(F45:F48)</f>
        <v>0</v>
      </c>
      <c r="G44" s="92">
        <f>SUM(G45:G48)</f>
        <v>0</v>
      </c>
      <c r="H44" s="100">
        <f>SUM(H45:H48)</f>
        <v>0</v>
      </c>
      <c r="I44" s="30"/>
      <c r="K44" s="761"/>
      <c r="L44" s="762"/>
      <c r="M44" s="762"/>
      <c r="N44" s="762"/>
      <c r="O44" s="762"/>
      <c r="P44" s="762"/>
      <c r="Q44" s="762"/>
      <c r="R44" s="762"/>
      <c r="S44" s="762"/>
      <c r="T44" s="762"/>
      <c r="U44" s="762"/>
      <c r="V44" s="762"/>
      <c r="W44" s="762"/>
      <c r="X44" s="763"/>
    </row>
    <row r="45" spans="2:24" ht="23.1" customHeight="1">
      <c r="B45" s="28"/>
      <c r="C45" s="952" t="s">
        <v>328</v>
      </c>
      <c r="D45" s="629" t="s">
        <v>607</v>
      </c>
      <c r="E45" s="821"/>
      <c r="F45" s="821"/>
      <c r="G45" s="821"/>
      <c r="H45" s="953"/>
      <c r="I45" s="30"/>
      <c r="K45" s="761"/>
      <c r="L45" s="762"/>
      <c r="M45" s="762"/>
      <c r="N45" s="762"/>
      <c r="O45" s="762"/>
      <c r="P45" s="762"/>
      <c r="Q45" s="762"/>
      <c r="R45" s="762"/>
      <c r="S45" s="762"/>
      <c r="T45" s="762"/>
      <c r="U45" s="762"/>
      <c r="V45" s="762"/>
      <c r="W45" s="762"/>
      <c r="X45" s="763"/>
    </row>
    <row r="46" spans="2:24" ht="23.1" customHeight="1">
      <c r="B46" s="28"/>
      <c r="C46" s="954" t="s">
        <v>336</v>
      </c>
      <c r="D46" s="630" t="s">
        <v>608</v>
      </c>
      <c r="E46" s="822"/>
      <c r="F46" s="822"/>
      <c r="G46" s="822"/>
      <c r="H46" s="955"/>
      <c r="I46" s="30"/>
      <c r="K46" s="761"/>
      <c r="L46" s="762"/>
      <c r="M46" s="762"/>
      <c r="N46" s="762"/>
      <c r="O46" s="762"/>
      <c r="P46" s="762"/>
      <c r="Q46" s="762"/>
      <c r="R46" s="762"/>
      <c r="S46" s="762"/>
      <c r="T46" s="762"/>
      <c r="U46" s="762"/>
      <c r="V46" s="762"/>
      <c r="W46" s="762"/>
      <c r="X46" s="763"/>
    </row>
    <row r="47" spans="2:24" ht="23.1" customHeight="1">
      <c r="B47" s="28"/>
      <c r="C47" s="954" t="s">
        <v>338</v>
      </c>
      <c r="D47" s="630" t="s">
        <v>609</v>
      </c>
      <c r="E47" s="822"/>
      <c r="F47" s="822"/>
      <c r="G47" s="822"/>
      <c r="H47" s="955"/>
      <c r="I47" s="30"/>
      <c r="K47" s="761"/>
      <c r="L47" s="762"/>
      <c r="M47" s="762"/>
      <c r="N47" s="762"/>
      <c r="O47" s="762"/>
      <c r="P47" s="762"/>
      <c r="Q47" s="762"/>
      <c r="R47" s="762"/>
      <c r="S47" s="762"/>
      <c r="T47" s="762"/>
      <c r="U47" s="762"/>
      <c r="V47" s="762"/>
      <c r="W47" s="762"/>
      <c r="X47" s="763"/>
    </row>
    <row r="48" spans="2:24" ht="23.1" customHeight="1">
      <c r="B48" s="28"/>
      <c r="C48" s="954" t="s">
        <v>340</v>
      </c>
      <c r="D48" s="630" t="s">
        <v>610</v>
      </c>
      <c r="E48" s="822"/>
      <c r="F48" s="822"/>
      <c r="G48" s="822"/>
      <c r="H48" s="955"/>
      <c r="I48" s="30"/>
      <c r="K48" s="761"/>
      <c r="L48" s="762"/>
      <c r="M48" s="762"/>
      <c r="N48" s="762"/>
      <c r="O48" s="762"/>
      <c r="P48" s="762"/>
      <c r="Q48" s="762"/>
      <c r="R48" s="762"/>
      <c r="S48" s="762"/>
      <c r="T48" s="762"/>
      <c r="U48" s="762"/>
      <c r="V48" s="762"/>
      <c r="W48" s="762"/>
      <c r="X48" s="763"/>
    </row>
    <row r="49" spans="2:24" ht="23.1" customHeight="1">
      <c r="B49" s="28"/>
      <c r="C49" s="99" t="s">
        <v>518</v>
      </c>
      <c r="D49" s="43" t="s">
        <v>611</v>
      </c>
      <c r="E49" s="92">
        <f>SUM(E50:E54)</f>
        <v>591954.78</v>
      </c>
      <c r="F49" s="92">
        <f>SUM(F50:F54)</f>
        <v>550641.41</v>
      </c>
      <c r="G49" s="92">
        <f>SUM(G50:G54)</f>
        <v>601706.59</v>
      </c>
      <c r="H49" s="100">
        <f>SUM(H50:H54)</f>
        <v>2116749.25</v>
      </c>
      <c r="I49" s="30"/>
      <c r="K49" s="761"/>
      <c r="L49" s="762"/>
      <c r="M49" s="762"/>
      <c r="N49" s="762"/>
      <c r="O49" s="762"/>
      <c r="P49" s="762"/>
      <c r="Q49" s="762"/>
      <c r="R49" s="762"/>
      <c r="S49" s="762"/>
      <c r="T49" s="762"/>
      <c r="U49" s="762"/>
      <c r="V49" s="762"/>
      <c r="W49" s="762"/>
      <c r="X49" s="763"/>
    </row>
    <row r="50" spans="2:24" ht="23.1" customHeight="1">
      <c r="B50" s="28"/>
      <c r="C50" s="952" t="s">
        <v>328</v>
      </c>
      <c r="D50" s="629" t="s">
        <v>612</v>
      </c>
      <c r="E50" s="821"/>
      <c r="F50" s="821"/>
      <c r="G50" s="821"/>
      <c r="H50" s="953"/>
      <c r="I50" s="30"/>
      <c r="K50" s="761"/>
      <c r="L50" s="762"/>
      <c r="M50" s="762"/>
      <c r="N50" s="762"/>
      <c r="O50" s="762"/>
      <c r="P50" s="762"/>
      <c r="Q50" s="762"/>
      <c r="R50" s="762"/>
      <c r="S50" s="762"/>
      <c r="T50" s="762"/>
      <c r="U50" s="762"/>
      <c r="V50" s="762"/>
      <c r="W50" s="762"/>
      <c r="X50" s="763"/>
    </row>
    <row r="51" spans="2:24" s="45" customFormat="1" ht="23.1" customHeight="1">
      <c r="B51" s="10"/>
      <c r="C51" s="954" t="s">
        <v>336</v>
      </c>
      <c r="D51" s="630" t="s">
        <v>613</v>
      </c>
      <c r="E51" s="822"/>
      <c r="F51" s="822"/>
      <c r="G51" s="822"/>
      <c r="H51" s="955">
        <v>1500000</v>
      </c>
      <c r="I51" s="37"/>
      <c r="K51" s="761"/>
      <c r="L51" s="762"/>
      <c r="M51" s="762"/>
      <c r="N51" s="762"/>
      <c r="O51" s="762"/>
      <c r="P51" s="762"/>
      <c r="Q51" s="762"/>
      <c r="R51" s="762"/>
      <c r="S51" s="762"/>
      <c r="T51" s="762"/>
      <c r="U51" s="762"/>
      <c r="V51" s="762"/>
      <c r="W51" s="762"/>
      <c r="X51" s="763"/>
    </row>
    <row r="52" spans="2:24" ht="23.1" customHeight="1">
      <c r="B52" s="28"/>
      <c r="C52" s="954" t="s">
        <v>338</v>
      </c>
      <c r="D52" s="630" t="s">
        <v>614</v>
      </c>
      <c r="E52" s="822"/>
      <c r="F52" s="822"/>
      <c r="G52" s="822"/>
      <c r="H52" s="955"/>
      <c r="I52" s="30"/>
      <c r="K52" s="761"/>
      <c r="L52" s="762"/>
      <c r="M52" s="762"/>
      <c r="N52" s="762"/>
      <c r="O52" s="762"/>
      <c r="P52" s="762"/>
      <c r="Q52" s="762"/>
      <c r="R52" s="762"/>
      <c r="S52" s="762"/>
      <c r="T52" s="762"/>
      <c r="U52" s="762"/>
      <c r="V52" s="762"/>
      <c r="W52" s="762"/>
      <c r="X52" s="763"/>
    </row>
    <row r="53" spans="2:24" ht="23.1" customHeight="1">
      <c r="B53" s="28"/>
      <c r="C53" s="954" t="s">
        <v>340</v>
      </c>
      <c r="D53" s="630" t="s">
        <v>532</v>
      </c>
      <c r="E53" s="822"/>
      <c r="F53" s="822"/>
      <c r="G53" s="822"/>
      <c r="H53" s="955"/>
      <c r="I53" s="30"/>
      <c r="K53" s="761"/>
      <c r="L53" s="762"/>
      <c r="M53" s="762"/>
      <c r="N53" s="762"/>
      <c r="O53" s="762"/>
      <c r="P53" s="762"/>
      <c r="Q53" s="762"/>
      <c r="R53" s="762"/>
      <c r="S53" s="762"/>
      <c r="T53" s="762"/>
      <c r="U53" s="762"/>
      <c r="V53" s="762"/>
      <c r="W53" s="762"/>
      <c r="X53" s="763"/>
    </row>
    <row r="54" spans="2:24" ht="23.1" customHeight="1">
      <c r="B54" s="28"/>
      <c r="C54" s="954" t="s">
        <v>513</v>
      </c>
      <c r="D54" s="630" t="s">
        <v>615</v>
      </c>
      <c r="E54" s="957">
        <f>SUM(E55:E56)</f>
        <v>591954.78</v>
      </c>
      <c r="F54" s="957">
        <f>SUM(F55:F56)</f>
        <v>550641.41</v>
      </c>
      <c r="G54" s="957">
        <f>SUM(G55:G56)</f>
        <v>601706.59</v>
      </c>
      <c r="H54" s="957">
        <f>SUM(H55:H56)</f>
        <v>616749.25</v>
      </c>
      <c r="I54" s="30"/>
      <c r="K54" s="761"/>
      <c r="L54" s="762"/>
      <c r="M54" s="762"/>
      <c r="N54" s="762"/>
      <c r="O54" s="762"/>
      <c r="P54" s="762"/>
      <c r="Q54" s="762"/>
      <c r="R54" s="762"/>
      <c r="S54" s="762"/>
      <c r="T54" s="762"/>
      <c r="U54" s="762"/>
      <c r="V54" s="762"/>
      <c r="W54" s="762"/>
      <c r="X54" s="763"/>
    </row>
    <row r="55" spans="2:24" ht="23.1" customHeight="1">
      <c r="B55" s="28"/>
      <c r="C55" s="227" t="s">
        <v>330</v>
      </c>
      <c r="D55" s="56" t="s">
        <v>616</v>
      </c>
      <c r="E55" s="321"/>
      <c r="F55" s="321"/>
      <c r="G55" s="322"/>
      <c r="H55" s="323"/>
      <c r="I55" s="30"/>
      <c r="K55" s="761"/>
      <c r="L55" s="762"/>
      <c r="M55" s="762"/>
      <c r="N55" s="762"/>
      <c r="O55" s="762"/>
      <c r="P55" s="762"/>
      <c r="Q55" s="762"/>
      <c r="R55" s="762"/>
      <c r="S55" s="762"/>
      <c r="T55" s="762"/>
      <c r="U55" s="762"/>
      <c r="V55" s="762"/>
      <c r="W55" s="762"/>
      <c r="X55" s="763"/>
    </row>
    <row r="56" spans="2:24" ht="23.1" customHeight="1">
      <c r="B56" s="28"/>
      <c r="C56" s="227" t="s">
        <v>332</v>
      </c>
      <c r="D56" s="56" t="s">
        <v>617</v>
      </c>
      <c r="E56" s="321">
        <v>591954.78</v>
      </c>
      <c r="F56" s="321">
        <v>550641.41</v>
      </c>
      <c r="G56" s="322">
        <v>601706.59</v>
      </c>
      <c r="H56" s="323">
        <v>616749.25</v>
      </c>
      <c r="I56" s="30"/>
      <c r="K56" s="761"/>
      <c r="L56" s="762"/>
      <c r="M56" s="762"/>
      <c r="N56" s="762"/>
      <c r="O56" s="762"/>
      <c r="P56" s="762"/>
      <c r="Q56" s="762"/>
      <c r="R56" s="762"/>
      <c r="S56" s="762"/>
      <c r="T56" s="762"/>
      <c r="U56" s="762"/>
      <c r="V56" s="762"/>
      <c r="W56" s="762"/>
      <c r="X56" s="763"/>
    </row>
    <row r="57" spans="2:24" ht="23.1" customHeight="1">
      <c r="B57" s="28"/>
      <c r="C57" s="99" t="s">
        <v>523</v>
      </c>
      <c r="D57" s="43" t="s">
        <v>618</v>
      </c>
      <c r="E57" s="272"/>
      <c r="F57" s="272"/>
      <c r="G57" s="272"/>
      <c r="H57" s="276"/>
      <c r="I57" s="30"/>
      <c r="K57" s="761"/>
      <c r="L57" s="762"/>
      <c r="M57" s="762"/>
      <c r="N57" s="762"/>
      <c r="O57" s="762"/>
      <c r="P57" s="762"/>
      <c r="Q57" s="762"/>
      <c r="R57" s="762"/>
      <c r="S57" s="762"/>
      <c r="T57" s="762"/>
      <c r="U57" s="762"/>
      <c r="V57" s="762"/>
      <c r="W57" s="762"/>
      <c r="X57" s="763"/>
    </row>
    <row r="58" spans="2:24" ht="23.1" customHeight="1">
      <c r="B58" s="28"/>
      <c r="C58" s="99" t="s">
        <v>527</v>
      </c>
      <c r="D58" s="43" t="s">
        <v>619</v>
      </c>
      <c r="E58" s="92">
        <f>SUM(E59:E60)</f>
        <v>2379.1999999999998</v>
      </c>
      <c r="F58" s="92">
        <f>SUM(F59:F60)</f>
        <v>2185.29</v>
      </c>
      <c r="G58" s="92">
        <f>SUM(G59:G60)</f>
        <v>2181.29</v>
      </c>
      <c r="H58" s="92">
        <f>SUM(H59:H60)</f>
        <v>1983.3799999999999</v>
      </c>
      <c r="I58" s="30"/>
      <c r="K58" s="761"/>
      <c r="L58" s="762"/>
      <c r="M58" s="762"/>
      <c r="N58" s="762"/>
      <c r="O58" s="762"/>
      <c r="P58" s="762"/>
      <c r="Q58" s="762"/>
      <c r="R58" s="762"/>
      <c r="S58" s="762"/>
      <c r="T58" s="762"/>
      <c r="U58" s="762"/>
      <c r="V58" s="762"/>
      <c r="W58" s="762"/>
      <c r="X58" s="763"/>
    </row>
    <row r="59" spans="2:24" ht="23.1" customHeight="1">
      <c r="B59" s="28"/>
      <c r="C59" s="227" t="s">
        <v>330</v>
      </c>
      <c r="D59" s="56" t="s">
        <v>620</v>
      </c>
      <c r="E59" s="321">
        <v>2379.1999999999998</v>
      </c>
      <c r="F59" s="321">
        <v>2185.29</v>
      </c>
      <c r="G59" s="322">
        <f>+'FC-9_TRANS_SUBV'!I44</f>
        <v>2181.29</v>
      </c>
      <c r="H59" s="323">
        <f>+'FC-9_TRANS_SUBV'!L44</f>
        <v>1983.3799999999999</v>
      </c>
      <c r="I59" s="30"/>
      <c r="K59" s="761"/>
      <c r="L59" s="762"/>
      <c r="M59" s="762"/>
      <c r="N59" s="762"/>
      <c r="O59" s="762"/>
      <c r="P59" s="762"/>
      <c r="Q59" s="762"/>
      <c r="R59" s="762"/>
      <c r="S59" s="762"/>
      <c r="T59" s="762"/>
      <c r="U59" s="762"/>
      <c r="V59" s="762"/>
      <c r="W59" s="762"/>
      <c r="X59" s="763"/>
    </row>
    <row r="60" spans="2:24" ht="23.1" customHeight="1">
      <c r="B60" s="28"/>
      <c r="C60" s="227" t="s">
        <v>332</v>
      </c>
      <c r="D60" s="56" t="s">
        <v>621</v>
      </c>
      <c r="E60" s="321"/>
      <c r="F60" s="321"/>
      <c r="G60" s="322"/>
      <c r="H60" s="323"/>
      <c r="I60" s="30"/>
      <c r="K60" s="761"/>
      <c r="L60" s="762"/>
      <c r="M60" s="762"/>
      <c r="N60" s="762"/>
      <c r="O60" s="762"/>
      <c r="P60" s="762"/>
      <c r="Q60" s="762"/>
      <c r="R60" s="762"/>
      <c r="S60" s="762"/>
      <c r="T60" s="762"/>
      <c r="U60" s="762"/>
      <c r="V60" s="762"/>
      <c r="W60" s="762"/>
      <c r="X60" s="763"/>
    </row>
    <row r="61" spans="2:24" ht="23.1" customHeight="1">
      <c r="B61" s="28"/>
      <c r="C61" s="99" t="s">
        <v>535</v>
      </c>
      <c r="D61" s="43" t="s">
        <v>622</v>
      </c>
      <c r="E61" s="272">
        <v>87067.41</v>
      </c>
      <c r="F61" s="272">
        <v>87067.41</v>
      </c>
      <c r="G61" s="272">
        <v>87067.41</v>
      </c>
      <c r="H61" s="276">
        <v>87067.41</v>
      </c>
      <c r="I61" s="30"/>
      <c r="K61" s="761"/>
      <c r="L61" s="762"/>
      <c r="M61" s="762"/>
      <c r="N61" s="762"/>
      <c r="O61" s="762"/>
      <c r="P61" s="762"/>
      <c r="Q61" s="762"/>
      <c r="R61" s="762"/>
      <c r="S61" s="762"/>
      <c r="T61" s="762"/>
      <c r="U61" s="762"/>
      <c r="V61" s="762"/>
      <c r="W61" s="762"/>
      <c r="X61" s="763"/>
    </row>
    <row r="62" spans="2:24" ht="23.1" customHeight="1">
      <c r="B62" s="28"/>
      <c r="C62" s="99" t="s">
        <v>538</v>
      </c>
      <c r="D62" s="43" t="s">
        <v>623</v>
      </c>
      <c r="E62" s="272"/>
      <c r="F62" s="272"/>
      <c r="G62" s="272"/>
      <c r="H62" s="276"/>
      <c r="I62" s="30"/>
      <c r="K62" s="761"/>
      <c r="L62" s="762"/>
      <c r="M62" s="762"/>
      <c r="N62" s="762"/>
      <c r="O62" s="762"/>
      <c r="P62" s="762"/>
      <c r="Q62" s="762"/>
      <c r="R62" s="762"/>
      <c r="S62" s="762"/>
      <c r="T62" s="762"/>
      <c r="U62" s="762"/>
      <c r="V62" s="762"/>
      <c r="W62" s="762"/>
      <c r="X62" s="763"/>
    </row>
    <row r="63" spans="2:24" ht="23.1" customHeight="1">
      <c r="B63" s="28"/>
      <c r="C63" s="99" t="s">
        <v>540</v>
      </c>
      <c r="D63" s="43" t="s">
        <v>624</v>
      </c>
      <c r="E63" s="272"/>
      <c r="F63" s="272"/>
      <c r="G63" s="272"/>
      <c r="H63" s="276"/>
      <c r="I63" s="30"/>
      <c r="K63" s="761"/>
      <c r="L63" s="762"/>
      <c r="M63" s="762"/>
      <c r="N63" s="762"/>
      <c r="O63" s="762"/>
      <c r="P63" s="762"/>
      <c r="Q63" s="762"/>
      <c r="R63" s="762"/>
      <c r="S63" s="762"/>
      <c r="T63" s="762"/>
      <c r="U63" s="762"/>
      <c r="V63" s="762"/>
      <c r="W63" s="762"/>
      <c r="X63" s="763"/>
    </row>
    <row r="64" spans="2:24" ht="23.1" customHeight="1">
      <c r="B64" s="28"/>
      <c r="C64" s="102"/>
      <c r="D64" s="1"/>
      <c r="E64" s="93"/>
      <c r="F64" s="93"/>
      <c r="G64" s="93"/>
      <c r="H64" s="101"/>
      <c r="I64" s="30"/>
      <c r="K64" s="761"/>
      <c r="L64" s="762"/>
      <c r="M64" s="762"/>
      <c r="N64" s="762"/>
      <c r="O64" s="762"/>
      <c r="P64" s="762"/>
      <c r="Q64" s="762"/>
      <c r="R64" s="762"/>
      <c r="S64" s="762"/>
      <c r="T64" s="762"/>
      <c r="U64" s="762"/>
      <c r="V64" s="762"/>
      <c r="W64" s="762"/>
      <c r="X64" s="763"/>
    </row>
    <row r="65" spans="2:24" ht="23.1" customHeight="1">
      <c r="B65" s="28"/>
      <c r="C65" s="97" t="s">
        <v>625</v>
      </c>
      <c r="D65" s="53" t="s">
        <v>626</v>
      </c>
      <c r="E65" s="91">
        <f>E66+E67+E70+E78+E79+E91+E92</f>
        <v>675546.57000000007</v>
      </c>
      <c r="F65" s="91">
        <f>F66+F67+F70+F78+F79+F91+F92</f>
        <v>210190.18</v>
      </c>
      <c r="G65" s="91">
        <f>G66+G67+G70+G78+G79+G91+G92</f>
        <v>258130.36</v>
      </c>
      <c r="H65" s="98">
        <f>H66+H67+H70+H78+H79+H91+H92</f>
        <v>262167.49</v>
      </c>
      <c r="I65" s="30"/>
      <c r="K65" s="761"/>
      <c r="L65" s="762"/>
      <c r="M65" s="762"/>
      <c r="N65" s="762"/>
      <c r="O65" s="762"/>
      <c r="P65" s="762"/>
      <c r="Q65" s="762"/>
      <c r="R65" s="762"/>
      <c r="S65" s="762"/>
      <c r="T65" s="762"/>
      <c r="U65" s="762"/>
      <c r="V65" s="762"/>
      <c r="W65" s="762"/>
      <c r="X65" s="763"/>
    </row>
    <row r="66" spans="2:24" ht="23.1" customHeight="1">
      <c r="B66" s="28"/>
      <c r="C66" s="99" t="s">
        <v>507</v>
      </c>
      <c r="D66" s="43" t="s">
        <v>627</v>
      </c>
      <c r="E66" s="272"/>
      <c r="F66" s="272"/>
      <c r="G66" s="272"/>
      <c r="H66" s="276"/>
      <c r="I66" s="30"/>
      <c r="K66" s="761"/>
      <c r="L66" s="762"/>
      <c r="M66" s="762"/>
      <c r="N66" s="762"/>
      <c r="O66" s="762"/>
      <c r="P66" s="762"/>
      <c r="Q66" s="762"/>
      <c r="R66" s="762"/>
      <c r="S66" s="762"/>
      <c r="T66" s="762"/>
      <c r="U66" s="762"/>
      <c r="V66" s="762"/>
      <c r="W66" s="762"/>
      <c r="X66" s="763"/>
    </row>
    <row r="67" spans="2:24" ht="23.1" customHeight="1">
      <c r="B67" s="28"/>
      <c r="C67" s="99" t="s">
        <v>518</v>
      </c>
      <c r="D67" s="43" t="s">
        <v>628</v>
      </c>
      <c r="E67" s="92">
        <f>SUM(E68:E69)</f>
        <v>0</v>
      </c>
      <c r="F67" s="92">
        <f>SUM(F68:F69)</f>
        <v>0</v>
      </c>
      <c r="G67" s="92">
        <f>SUM(G68:G69)</f>
        <v>0</v>
      </c>
      <c r="H67" s="100">
        <f>SUM(H68:H69)</f>
        <v>0</v>
      </c>
      <c r="I67" s="30"/>
      <c r="K67" s="761"/>
      <c r="L67" s="762"/>
      <c r="M67" s="762"/>
      <c r="N67" s="762"/>
      <c r="O67" s="762"/>
      <c r="P67" s="762"/>
      <c r="Q67" s="762"/>
      <c r="R67" s="762"/>
      <c r="S67" s="762"/>
      <c r="T67" s="762"/>
      <c r="U67" s="762"/>
      <c r="V67" s="762"/>
      <c r="W67" s="762"/>
      <c r="X67" s="763"/>
    </row>
    <row r="68" spans="2:24" ht="23.1" customHeight="1">
      <c r="B68" s="28"/>
      <c r="C68" s="952" t="s">
        <v>328</v>
      </c>
      <c r="D68" s="629" t="s">
        <v>629</v>
      </c>
      <c r="E68" s="821"/>
      <c r="F68" s="821"/>
      <c r="G68" s="821"/>
      <c r="H68" s="953"/>
      <c r="I68" s="30"/>
      <c r="K68" s="761"/>
      <c r="L68" s="762"/>
      <c r="M68" s="762"/>
      <c r="N68" s="762"/>
      <c r="O68" s="762"/>
      <c r="P68" s="762"/>
      <c r="Q68" s="762"/>
      <c r="R68" s="762"/>
      <c r="S68" s="762"/>
      <c r="T68" s="762"/>
      <c r="U68" s="762"/>
      <c r="V68" s="762"/>
      <c r="W68" s="762"/>
      <c r="X68" s="763"/>
    </row>
    <row r="69" spans="2:24" ht="23.1" customHeight="1">
      <c r="B69" s="28"/>
      <c r="C69" s="954" t="s">
        <v>336</v>
      </c>
      <c r="D69" s="630" t="s">
        <v>610</v>
      </c>
      <c r="E69" s="822"/>
      <c r="F69" s="822"/>
      <c r="G69" s="822"/>
      <c r="H69" s="955"/>
      <c r="I69" s="30"/>
      <c r="K69" s="761"/>
      <c r="L69" s="762"/>
      <c r="M69" s="762"/>
      <c r="N69" s="762"/>
      <c r="O69" s="762"/>
      <c r="P69" s="762"/>
      <c r="Q69" s="762"/>
      <c r="R69" s="762"/>
      <c r="S69" s="762"/>
      <c r="T69" s="762"/>
      <c r="U69" s="762"/>
      <c r="V69" s="762"/>
      <c r="W69" s="762"/>
      <c r="X69" s="763"/>
    </row>
    <row r="70" spans="2:24" ht="23.1" customHeight="1">
      <c r="B70" s="28"/>
      <c r="C70" s="99" t="s">
        <v>523</v>
      </c>
      <c r="D70" s="43" t="s">
        <v>630</v>
      </c>
      <c r="E70" s="92">
        <f>SUM(E71:E75)</f>
        <v>30962.55</v>
      </c>
      <c r="F70" s="92">
        <f>SUM(F71:F75)</f>
        <v>0</v>
      </c>
      <c r="G70" s="92">
        <f>SUM(G71:G75)</f>
        <v>39126.42</v>
      </c>
      <c r="H70" s="100">
        <f>SUM(H71:H75)</f>
        <v>39126.42</v>
      </c>
      <c r="I70" s="30"/>
      <c r="K70" s="761"/>
      <c r="L70" s="762"/>
      <c r="M70" s="762"/>
      <c r="N70" s="762"/>
      <c r="O70" s="762"/>
      <c r="P70" s="762"/>
      <c r="Q70" s="762"/>
      <c r="R70" s="762"/>
      <c r="S70" s="762"/>
      <c r="T70" s="762"/>
      <c r="U70" s="762"/>
      <c r="V70" s="762"/>
      <c r="W70" s="762"/>
      <c r="X70" s="763"/>
    </row>
    <row r="71" spans="2:24" ht="23.1" customHeight="1">
      <c r="B71" s="28"/>
      <c r="C71" s="952" t="s">
        <v>328</v>
      </c>
      <c r="D71" s="629" t="s">
        <v>631</v>
      </c>
      <c r="E71" s="821"/>
      <c r="F71" s="821"/>
      <c r="G71" s="821"/>
      <c r="H71" s="953"/>
      <c r="I71" s="30"/>
      <c r="K71" s="761"/>
      <c r="L71" s="762"/>
      <c r="M71" s="762"/>
      <c r="N71" s="762"/>
      <c r="O71" s="762"/>
      <c r="P71" s="762"/>
      <c r="Q71" s="762"/>
      <c r="R71" s="762"/>
      <c r="S71" s="762"/>
      <c r="T71" s="762"/>
      <c r="U71" s="762"/>
      <c r="V71" s="762"/>
      <c r="W71" s="762"/>
      <c r="X71" s="763"/>
    </row>
    <row r="72" spans="2:24" ht="23.1" customHeight="1">
      <c r="B72" s="28"/>
      <c r="C72" s="954" t="s">
        <v>336</v>
      </c>
      <c r="D72" s="630" t="s">
        <v>613</v>
      </c>
      <c r="E72" s="822"/>
      <c r="F72" s="822"/>
      <c r="G72" s="822"/>
      <c r="H72" s="955"/>
      <c r="I72" s="30"/>
      <c r="K72" s="761"/>
      <c r="L72" s="762"/>
      <c r="M72" s="762"/>
      <c r="N72" s="762"/>
      <c r="O72" s="762"/>
      <c r="P72" s="762"/>
      <c r="Q72" s="762"/>
      <c r="R72" s="762"/>
      <c r="S72" s="762"/>
      <c r="T72" s="762"/>
      <c r="U72" s="762"/>
      <c r="V72" s="762"/>
      <c r="W72" s="762"/>
      <c r="X72" s="763"/>
    </row>
    <row r="73" spans="2:24" ht="23.1" customHeight="1">
      <c r="B73" s="28"/>
      <c r="C73" s="954" t="s">
        <v>338</v>
      </c>
      <c r="D73" s="630" t="s">
        <v>614</v>
      </c>
      <c r="E73" s="822"/>
      <c r="F73" s="822"/>
      <c r="G73" s="822"/>
      <c r="H73" s="955"/>
      <c r="I73" s="30"/>
      <c r="K73" s="761"/>
      <c r="L73" s="762"/>
      <c r="M73" s="762"/>
      <c r="N73" s="762"/>
      <c r="O73" s="762"/>
      <c r="P73" s="762"/>
      <c r="Q73" s="762"/>
      <c r="R73" s="762"/>
      <c r="S73" s="762"/>
      <c r="T73" s="762"/>
      <c r="U73" s="762"/>
      <c r="V73" s="762"/>
      <c r="W73" s="762"/>
      <c r="X73" s="763"/>
    </row>
    <row r="74" spans="2:24" ht="23.1" customHeight="1">
      <c r="B74" s="28"/>
      <c r="C74" s="954" t="s">
        <v>340</v>
      </c>
      <c r="D74" s="630" t="s">
        <v>532</v>
      </c>
      <c r="E74" s="822"/>
      <c r="F74" s="822"/>
      <c r="G74" s="822"/>
      <c r="H74" s="955"/>
      <c r="I74" s="30"/>
      <c r="K74" s="761"/>
      <c r="L74" s="801"/>
      <c r="M74" s="801"/>
      <c r="N74" s="762"/>
      <c r="O74" s="762"/>
      <c r="P74" s="762"/>
      <c r="Q74" s="762"/>
      <c r="R74" s="762"/>
      <c r="S74" s="762"/>
      <c r="T74" s="762"/>
      <c r="U74" s="762"/>
      <c r="V74" s="762"/>
      <c r="W74" s="762"/>
      <c r="X74" s="763"/>
    </row>
    <row r="75" spans="2:24" ht="23.1" customHeight="1">
      <c r="B75" s="28"/>
      <c r="C75" s="954" t="s">
        <v>513</v>
      </c>
      <c r="D75" s="630" t="s">
        <v>615</v>
      </c>
      <c r="E75" s="957">
        <f>SUM(E76:E77)</f>
        <v>30962.55</v>
      </c>
      <c r="F75" s="957">
        <f>SUM(F76:F77)</f>
        <v>0</v>
      </c>
      <c r="G75" s="957">
        <f>SUM(G76:G77)</f>
        <v>39126.42</v>
      </c>
      <c r="H75" s="957">
        <f>SUM(H76:H77)</f>
        <v>39126.42</v>
      </c>
      <c r="I75" s="30"/>
      <c r="K75" s="761"/>
      <c r="L75" s="801"/>
      <c r="M75" s="801"/>
      <c r="N75" s="762"/>
      <c r="O75" s="762"/>
      <c r="P75" s="762"/>
      <c r="Q75" s="762"/>
      <c r="R75" s="762"/>
      <c r="S75" s="762"/>
      <c r="T75" s="762"/>
      <c r="U75" s="762"/>
      <c r="V75" s="762"/>
      <c r="W75" s="762"/>
      <c r="X75" s="763"/>
    </row>
    <row r="76" spans="2:24" ht="23.1" customHeight="1">
      <c r="B76" s="28"/>
      <c r="C76" s="227" t="s">
        <v>330</v>
      </c>
      <c r="D76" s="56" t="s">
        <v>632</v>
      </c>
      <c r="E76" s="321"/>
      <c r="F76" s="321"/>
      <c r="G76" s="322"/>
      <c r="H76" s="323"/>
      <c r="I76" s="30"/>
      <c r="K76" s="761"/>
      <c r="L76" s="762"/>
      <c r="M76" s="762"/>
      <c r="N76" s="762"/>
      <c r="O76" s="762"/>
      <c r="P76" s="762"/>
      <c r="Q76" s="762"/>
      <c r="R76" s="762"/>
      <c r="S76" s="762"/>
      <c r="T76" s="762"/>
      <c r="U76" s="762"/>
      <c r="V76" s="762"/>
      <c r="W76" s="762"/>
      <c r="X76" s="763"/>
    </row>
    <row r="77" spans="2:24" ht="23.1" customHeight="1">
      <c r="B77" s="28"/>
      <c r="C77" s="227" t="s">
        <v>332</v>
      </c>
      <c r="D77" s="56" t="s">
        <v>633</v>
      </c>
      <c r="E77" s="321">
        <v>30962.55</v>
      </c>
      <c r="F77" s="321"/>
      <c r="G77" s="322">
        <v>39126.42</v>
      </c>
      <c r="H77" s="323">
        <v>39126.42</v>
      </c>
      <c r="I77" s="30"/>
      <c r="K77" s="761"/>
      <c r="L77" s="762"/>
      <c r="M77" s="762"/>
      <c r="N77" s="762"/>
      <c r="O77" s="762"/>
      <c r="P77" s="762"/>
      <c r="Q77" s="762"/>
      <c r="R77" s="762"/>
      <c r="S77" s="762"/>
      <c r="T77" s="762"/>
      <c r="U77" s="762"/>
      <c r="V77" s="762"/>
      <c r="W77" s="762"/>
      <c r="X77" s="763"/>
    </row>
    <row r="78" spans="2:24" ht="23.1" customHeight="1">
      <c r="B78" s="28"/>
      <c r="C78" s="99" t="s">
        <v>527</v>
      </c>
      <c r="D78" s="43" t="s">
        <v>634</v>
      </c>
      <c r="E78" s="272"/>
      <c r="F78" s="272"/>
      <c r="G78" s="272"/>
      <c r="H78" s="276"/>
      <c r="I78" s="30"/>
      <c r="K78" s="761"/>
      <c r="L78" s="762"/>
      <c r="M78" s="762"/>
      <c r="N78" s="762"/>
      <c r="O78" s="762"/>
      <c r="P78" s="762"/>
      <c r="Q78" s="762"/>
      <c r="R78" s="762"/>
      <c r="S78" s="762"/>
      <c r="T78" s="762"/>
      <c r="U78" s="762"/>
      <c r="V78" s="762"/>
      <c r="W78" s="762"/>
      <c r="X78" s="763"/>
    </row>
    <row r="79" spans="2:24" ht="23.1" customHeight="1">
      <c r="B79" s="28"/>
      <c r="C79" s="99" t="s">
        <v>535</v>
      </c>
      <c r="D79" s="43" t="s">
        <v>635</v>
      </c>
      <c r="E79" s="92">
        <f>E80+SUM(E83:E87)+E90</f>
        <v>644584.02</v>
      </c>
      <c r="F79" s="92">
        <f>F80+SUM(F83:F87)+F90</f>
        <v>210190.18</v>
      </c>
      <c r="G79" s="92">
        <f>G80+SUM(G83:G87)+G90</f>
        <v>219003.94</v>
      </c>
      <c r="H79" s="92">
        <f>H80+SUM(H83:H87)+H90</f>
        <v>223041.07</v>
      </c>
      <c r="I79" s="30"/>
      <c r="K79" s="761"/>
      <c r="L79" s="762"/>
      <c r="M79" s="762"/>
      <c r="N79" s="762"/>
      <c r="O79" s="762"/>
      <c r="P79" s="762"/>
      <c r="Q79" s="762"/>
      <c r="R79" s="762"/>
      <c r="S79" s="762"/>
      <c r="T79" s="762"/>
      <c r="U79" s="762"/>
      <c r="V79" s="762"/>
      <c r="W79" s="762"/>
      <c r="X79" s="763"/>
    </row>
    <row r="80" spans="2:24" ht="23.1" customHeight="1">
      <c r="B80" s="28"/>
      <c r="C80" s="954" t="s">
        <v>328</v>
      </c>
      <c r="D80" s="630" t="s">
        <v>636</v>
      </c>
      <c r="E80" s="957">
        <f>SUM(E81:E82)</f>
        <v>0</v>
      </c>
      <c r="F80" s="957">
        <f>SUM(F81:F82)</f>
        <v>0</v>
      </c>
      <c r="G80" s="957">
        <f>SUM(G81:G82)</f>
        <v>0</v>
      </c>
      <c r="H80" s="958">
        <f>SUM(H81:H82)</f>
        <v>0</v>
      </c>
      <c r="I80" s="30"/>
      <c r="K80" s="761"/>
      <c r="L80" s="762"/>
      <c r="M80" s="762"/>
      <c r="N80" s="762"/>
      <c r="O80" s="762"/>
      <c r="P80" s="762"/>
      <c r="Q80" s="762"/>
      <c r="R80" s="762"/>
      <c r="S80" s="762"/>
      <c r="T80" s="762"/>
      <c r="U80" s="762"/>
      <c r="V80" s="762"/>
      <c r="W80" s="762"/>
      <c r="X80" s="763"/>
    </row>
    <row r="81" spans="2:24" ht="23.1" customHeight="1">
      <c r="B81" s="28"/>
      <c r="C81" s="103" t="s">
        <v>330</v>
      </c>
      <c r="D81" s="56" t="s">
        <v>637</v>
      </c>
      <c r="E81" s="277"/>
      <c r="F81" s="277"/>
      <c r="G81" s="277"/>
      <c r="H81" s="278"/>
      <c r="I81" s="30"/>
      <c r="K81" s="761"/>
      <c r="L81" s="762"/>
      <c r="M81" s="762"/>
      <c r="N81" s="762"/>
      <c r="O81" s="762"/>
      <c r="P81" s="762"/>
      <c r="Q81" s="762"/>
      <c r="R81" s="762"/>
      <c r="S81" s="762"/>
      <c r="T81" s="762"/>
      <c r="U81" s="762"/>
      <c r="V81" s="762"/>
      <c r="W81" s="762"/>
      <c r="X81" s="763"/>
    </row>
    <row r="82" spans="2:24" ht="23.1" customHeight="1">
      <c r="B82" s="28"/>
      <c r="C82" s="103" t="s">
        <v>332</v>
      </c>
      <c r="D82" s="56" t="s">
        <v>638</v>
      </c>
      <c r="E82" s="277"/>
      <c r="F82" s="277"/>
      <c r="G82" s="277"/>
      <c r="H82" s="278"/>
      <c r="I82" s="30"/>
      <c r="K82" s="761"/>
      <c r="L82" s="762"/>
      <c r="M82" s="762"/>
      <c r="N82" s="762"/>
      <c r="O82" s="762"/>
      <c r="P82" s="762"/>
      <c r="Q82" s="762"/>
      <c r="R82" s="762"/>
      <c r="S82" s="762"/>
      <c r="T82" s="762"/>
      <c r="U82" s="762"/>
      <c r="V82" s="762"/>
      <c r="W82" s="762"/>
      <c r="X82" s="763"/>
    </row>
    <row r="83" spans="2:24" ht="23.1" customHeight="1">
      <c r="B83" s="28"/>
      <c r="C83" s="954" t="s">
        <v>336</v>
      </c>
      <c r="D83" s="630" t="s">
        <v>639</v>
      </c>
      <c r="E83" s="822"/>
      <c r="F83" s="822"/>
      <c r="G83" s="822"/>
      <c r="H83" s="955"/>
      <c r="I83" s="30"/>
      <c r="K83" s="761"/>
      <c r="L83" s="762"/>
      <c r="M83" s="762"/>
      <c r="N83" s="762"/>
      <c r="O83" s="762"/>
      <c r="P83" s="762"/>
      <c r="Q83" s="762"/>
      <c r="R83" s="762"/>
      <c r="S83" s="762"/>
      <c r="T83" s="762"/>
      <c r="U83" s="762"/>
      <c r="V83" s="762"/>
      <c r="W83" s="762"/>
      <c r="X83" s="763"/>
    </row>
    <row r="84" spans="2:24" ht="23.1" customHeight="1">
      <c r="B84" s="28"/>
      <c r="C84" s="954" t="s">
        <v>338</v>
      </c>
      <c r="D84" s="630" t="s">
        <v>640</v>
      </c>
      <c r="E84" s="822">
        <v>147051.45000000001</v>
      </c>
      <c r="F84" s="822">
        <v>75473.03</v>
      </c>
      <c r="G84" s="822">
        <v>76477.119999999995</v>
      </c>
      <c r="H84" s="955">
        <v>77737.22</v>
      </c>
      <c r="I84" s="30"/>
      <c r="K84" s="761"/>
      <c r="L84" s="762"/>
      <c r="M84" s="762"/>
      <c r="N84" s="762"/>
      <c r="O84" s="762"/>
      <c r="P84" s="762"/>
      <c r="Q84" s="762"/>
      <c r="R84" s="762"/>
      <c r="S84" s="762"/>
      <c r="T84" s="762"/>
      <c r="U84" s="762"/>
      <c r="V84" s="762"/>
      <c r="W84" s="762"/>
      <c r="X84" s="763"/>
    </row>
    <row r="85" spans="2:24" ht="23.1" customHeight="1">
      <c r="B85" s="28"/>
      <c r="C85" s="954" t="s">
        <v>340</v>
      </c>
      <c r="D85" s="630" t="s">
        <v>641</v>
      </c>
      <c r="E85" s="822">
        <v>49959.29</v>
      </c>
      <c r="F85" s="822">
        <v>49959.29</v>
      </c>
      <c r="G85" s="822">
        <v>49959.29</v>
      </c>
      <c r="H85" s="955">
        <v>49959.29</v>
      </c>
      <c r="I85" s="30"/>
      <c r="K85" s="761"/>
      <c r="L85" s="762"/>
      <c r="M85" s="762"/>
      <c r="N85" s="762"/>
      <c r="O85" s="762"/>
      <c r="P85" s="762"/>
      <c r="Q85" s="762"/>
      <c r="R85" s="762"/>
      <c r="S85" s="762"/>
      <c r="T85" s="762"/>
      <c r="U85" s="762"/>
      <c r="V85" s="762"/>
      <c r="W85" s="762"/>
      <c r="X85" s="763"/>
    </row>
    <row r="86" spans="2:24" ht="23.1" customHeight="1">
      <c r="B86" s="28"/>
      <c r="C86" s="954" t="s">
        <v>513</v>
      </c>
      <c r="D86" s="630" t="s">
        <v>642</v>
      </c>
      <c r="E86" s="822"/>
      <c r="F86" s="822"/>
      <c r="G86" s="822"/>
      <c r="H86" s="955"/>
      <c r="I86" s="30"/>
      <c r="K86" s="761"/>
      <c r="L86" s="762"/>
      <c r="M86" s="762"/>
      <c r="N86" s="762"/>
      <c r="O86" s="762"/>
      <c r="P86" s="762"/>
      <c r="Q86" s="762"/>
      <c r="R86" s="762"/>
      <c r="S86" s="762"/>
      <c r="T86" s="762"/>
      <c r="U86" s="762"/>
      <c r="V86" s="762"/>
      <c r="W86" s="762"/>
      <c r="X86" s="763"/>
    </row>
    <row r="87" spans="2:24" ht="23.1" customHeight="1">
      <c r="B87" s="28"/>
      <c r="C87" s="954" t="s">
        <v>351</v>
      </c>
      <c r="D87" s="630" t="s">
        <v>643</v>
      </c>
      <c r="E87" s="957">
        <f>SUM(E88:E89)</f>
        <v>447573.28</v>
      </c>
      <c r="F87" s="957">
        <f>SUM(F88:F89)</f>
        <v>84757.86</v>
      </c>
      <c r="G87" s="957">
        <f>SUM(G88:G89)</f>
        <v>92567.53</v>
      </c>
      <c r="H87" s="957">
        <f>SUM(H88:H89)</f>
        <v>95344.56</v>
      </c>
      <c r="I87" s="30"/>
      <c r="K87" s="761"/>
      <c r="L87" s="762"/>
      <c r="M87" s="762"/>
      <c r="N87" s="762"/>
      <c r="O87" s="762"/>
      <c r="P87" s="762"/>
      <c r="Q87" s="762"/>
      <c r="R87" s="762"/>
      <c r="S87" s="762"/>
      <c r="T87" s="762"/>
      <c r="U87" s="762"/>
      <c r="V87" s="762"/>
      <c r="W87" s="762"/>
      <c r="X87" s="763"/>
    </row>
    <row r="88" spans="2:24" ht="23.1" customHeight="1">
      <c r="B88" s="28"/>
      <c r="C88" s="227" t="s">
        <v>330</v>
      </c>
      <c r="D88" s="56" t="s">
        <v>644</v>
      </c>
      <c r="E88" s="321">
        <v>350000</v>
      </c>
      <c r="F88" s="321"/>
      <c r="G88" s="322"/>
      <c r="H88" s="323"/>
      <c r="I88" s="30"/>
      <c r="K88" s="761"/>
      <c r="L88" s="762"/>
      <c r="M88" s="762"/>
      <c r="N88" s="762"/>
      <c r="O88" s="762"/>
      <c r="P88" s="762"/>
      <c r="Q88" s="762"/>
      <c r="R88" s="762"/>
      <c r="S88" s="762"/>
      <c r="T88" s="762"/>
      <c r="U88" s="762"/>
      <c r="V88" s="762"/>
      <c r="W88" s="762"/>
      <c r="X88" s="763"/>
    </row>
    <row r="89" spans="2:24" ht="23.1" customHeight="1">
      <c r="B89" s="28"/>
      <c r="C89" s="227" t="s">
        <v>332</v>
      </c>
      <c r="D89" s="56" t="s">
        <v>645</v>
      </c>
      <c r="E89" s="321">
        <v>97573.28</v>
      </c>
      <c r="F89" s="321">
        <v>84757.86</v>
      </c>
      <c r="G89" s="322">
        <v>92567.53</v>
      </c>
      <c r="H89" s="323">
        <v>95344.56</v>
      </c>
      <c r="I89" s="30"/>
      <c r="K89" s="761"/>
      <c r="L89" s="762"/>
      <c r="M89" s="762"/>
      <c r="N89" s="762"/>
      <c r="O89" s="762"/>
      <c r="P89" s="762"/>
      <c r="Q89" s="762"/>
      <c r="R89" s="762"/>
      <c r="S89" s="762"/>
      <c r="T89" s="762"/>
      <c r="U89" s="762"/>
      <c r="V89" s="762"/>
      <c r="W89" s="762"/>
      <c r="X89" s="763"/>
    </row>
    <row r="90" spans="2:24" ht="23.1" customHeight="1">
      <c r="B90" s="28"/>
      <c r="C90" s="954" t="s">
        <v>359</v>
      </c>
      <c r="D90" s="630" t="s">
        <v>646</v>
      </c>
      <c r="E90" s="822"/>
      <c r="F90" s="822"/>
      <c r="G90" s="822"/>
      <c r="H90" s="955"/>
      <c r="I90" s="30"/>
      <c r="K90" s="761"/>
      <c r="L90" s="762"/>
      <c r="M90" s="762"/>
      <c r="N90" s="762"/>
      <c r="O90" s="762"/>
      <c r="P90" s="762"/>
      <c r="Q90" s="762"/>
      <c r="R90" s="762"/>
      <c r="S90" s="762"/>
      <c r="T90" s="762"/>
      <c r="U90" s="762"/>
      <c r="V90" s="762"/>
      <c r="W90" s="762"/>
      <c r="X90" s="763"/>
    </row>
    <row r="91" spans="2:24" ht="23.1" customHeight="1">
      <c r="B91" s="28"/>
      <c r="C91" s="99" t="s">
        <v>538</v>
      </c>
      <c r="D91" s="43" t="s">
        <v>568</v>
      </c>
      <c r="E91" s="272"/>
      <c r="F91" s="272"/>
      <c r="G91" s="272"/>
      <c r="H91" s="276"/>
      <c r="I91" s="30"/>
      <c r="K91" s="761"/>
      <c r="L91" s="762"/>
      <c r="M91" s="762"/>
      <c r="N91" s="762"/>
      <c r="O91" s="762"/>
      <c r="P91" s="762"/>
      <c r="Q91" s="762"/>
      <c r="R91" s="762"/>
      <c r="S91" s="762"/>
      <c r="T91" s="762"/>
      <c r="U91" s="762"/>
      <c r="V91" s="762"/>
      <c r="W91" s="762"/>
      <c r="X91" s="763"/>
    </row>
    <row r="92" spans="2:24" ht="23.1" customHeight="1">
      <c r="B92" s="28"/>
      <c r="C92" s="99" t="s">
        <v>540</v>
      </c>
      <c r="D92" s="43" t="s">
        <v>647</v>
      </c>
      <c r="E92" s="272"/>
      <c r="F92" s="272"/>
      <c r="G92" s="272"/>
      <c r="H92" s="276"/>
      <c r="I92" s="30"/>
      <c r="K92" s="761"/>
      <c r="L92" s="762"/>
      <c r="M92" s="762"/>
      <c r="N92" s="762"/>
      <c r="O92" s="762"/>
      <c r="P92" s="762"/>
      <c r="Q92" s="762"/>
      <c r="R92" s="762"/>
      <c r="S92" s="762"/>
      <c r="T92" s="762"/>
      <c r="U92" s="762"/>
      <c r="V92" s="762"/>
      <c r="W92" s="762"/>
      <c r="X92" s="763"/>
    </row>
    <row r="93" spans="2:24" ht="23.1" customHeight="1">
      <c r="B93" s="28"/>
      <c r="C93" s="95"/>
      <c r="D93" s="55"/>
      <c r="E93" s="93"/>
      <c r="F93" s="93"/>
      <c r="G93" s="93"/>
      <c r="H93" s="101"/>
      <c r="I93" s="30"/>
      <c r="K93" s="761"/>
      <c r="L93" s="762"/>
      <c r="M93" s="762"/>
      <c r="N93" s="762"/>
      <c r="O93" s="762"/>
      <c r="P93" s="762"/>
      <c r="Q93" s="762"/>
      <c r="R93" s="762"/>
      <c r="S93" s="762"/>
      <c r="T93" s="762"/>
      <c r="U93" s="762"/>
      <c r="V93" s="762"/>
      <c r="W93" s="762"/>
      <c r="X93" s="763"/>
    </row>
    <row r="94" spans="2:24" ht="23.1" customHeight="1" thickBot="1">
      <c r="B94" s="28"/>
      <c r="C94" s="104" t="s">
        <v>648</v>
      </c>
      <c r="D94" s="48"/>
      <c r="E94" s="94">
        <f>E16+E43+E65</f>
        <v>24203453.779999997</v>
      </c>
      <c r="F94" s="94">
        <f>F16+F43+F65</f>
        <v>24759402.469999999</v>
      </c>
      <c r="G94" s="94">
        <f>G16+G43+G65</f>
        <v>24494046.159999996</v>
      </c>
      <c r="H94" s="105">
        <f>H16+H43+H65</f>
        <v>26603908.949999999</v>
      </c>
      <c r="I94" s="30"/>
      <c r="K94" s="761"/>
      <c r="L94" s="762"/>
      <c r="M94" s="762"/>
      <c r="N94" s="762"/>
      <c r="O94" s="762"/>
      <c r="P94" s="762"/>
      <c r="Q94" s="762"/>
      <c r="R94" s="762"/>
      <c r="S94" s="762"/>
      <c r="T94" s="762"/>
      <c r="U94" s="762"/>
      <c r="V94" s="762"/>
      <c r="W94" s="762"/>
      <c r="X94" s="763"/>
    </row>
    <row r="95" spans="2:24" ht="23.1" customHeight="1" thickBot="1">
      <c r="B95" s="32"/>
      <c r="C95" s="1228"/>
      <c r="D95" s="1228"/>
      <c r="E95" s="1228"/>
      <c r="F95" s="1228"/>
      <c r="G95" s="1228"/>
      <c r="H95" s="34"/>
      <c r="I95" s="35"/>
      <c r="K95" s="764"/>
      <c r="L95" s="765"/>
      <c r="M95" s="765"/>
      <c r="N95" s="765"/>
      <c r="O95" s="765"/>
      <c r="P95" s="765"/>
      <c r="Q95" s="765"/>
      <c r="R95" s="765"/>
      <c r="S95" s="765"/>
      <c r="T95" s="765"/>
      <c r="U95" s="765"/>
      <c r="V95" s="765"/>
      <c r="W95" s="765"/>
      <c r="X95" s="766"/>
    </row>
    <row r="96" spans="2:24" ht="23.1" customHeight="1">
      <c r="J96" s="23" t="s">
        <v>248</v>
      </c>
    </row>
    <row r="97" spans="3:8" ht="12.75">
      <c r="C97" s="19" t="s">
        <v>98</v>
      </c>
      <c r="H97" s="22" t="s">
        <v>649</v>
      </c>
    </row>
    <row r="98" spans="3:8" ht="12.75">
      <c r="C98" s="19" t="s">
        <v>100</v>
      </c>
    </row>
    <row r="99" spans="3:8" ht="12.75">
      <c r="C99" s="19" t="s">
        <v>101</v>
      </c>
    </row>
    <row r="100" spans="3:8" ht="12.75">
      <c r="C100" s="19" t="s">
        <v>102</v>
      </c>
    </row>
    <row r="101" spans="3:8" ht="12.75">
      <c r="C101" s="19" t="s">
        <v>103</v>
      </c>
    </row>
    <row r="102" spans="3:8" ht="23.1" customHeight="1">
      <c r="E102" s="325"/>
      <c r="F102" s="325"/>
      <c r="G102" s="325" t="str">
        <f>IF(_CHECK_LIST!L22&gt;0,"Revisa","")</f>
        <v/>
      </c>
      <c r="H102" s="325" t="str">
        <f>IF(_CHECK_LIST!M22&gt;0,"Revisa","")</f>
        <v/>
      </c>
    </row>
  </sheetData>
  <sheetProtection sheet="1" objects="1" scenarios="1"/>
  <mergeCells count="3">
    <mergeCell ref="H6:H7"/>
    <mergeCell ref="D9:H9"/>
    <mergeCell ref="C95:G95"/>
  </mergeCells>
  <phoneticPr fontId="5" type="noConversion"/>
  <printOptions horizontalCentered="1" verticalCentered="1"/>
  <pageMargins left="0.35629921259842523" right="0.35629921259842523" top="0.60629921259842523" bottom="0.60629921259842523" header="0.5" footer="0.5"/>
  <pageSetup paperSize="9" scale="34" orientation="portrait" horizontalDpi="4294967292" verticalDpi="4294967292" r:id="rId1"/>
  <ignoredErrors>
    <ignoredError sqref="G58:H58 G75:H75 G54:H54 E54 E75" unlockedFormula="1"/>
  </ignoredErrors>
  <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E093326-1A65-4CE7-A685-446FCC3CF01A}">
  <sheetPr codeName="Hoja9">
    <pageSetUpPr fitToPage="1"/>
  </sheetPr>
  <dimension ref="A2:AF78"/>
  <sheetViews>
    <sheetView zoomScale="84" zoomScaleNormal="55" workbookViewId="0">
      <selection activeCell="C67" sqref="C67"/>
    </sheetView>
  </sheetViews>
  <sheetFormatPr baseColWidth="10" defaultColWidth="10.6640625" defaultRowHeight="23.1" customHeight="1"/>
  <cols>
    <col min="1" max="1" width="4.109375" style="23" bestFit="1" customWidth="1"/>
    <col min="2" max="2" width="3.109375" style="23" customWidth="1"/>
    <col min="3" max="3" width="13.5546875" style="23" customWidth="1"/>
    <col min="4" max="4" width="76.6640625" style="23" customWidth="1"/>
    <col min="5" max="16" width="18.33203125" style="23" customWidth="1"/>
    <col min="17" max="17" width="3.33203125" style="23" customWidth="1"/>
    <col min="18" max="16384" width="10.6640625" style="23"/>
  </cols>
  <sheetData>
    <row r="2" spans="1:32" ht="23.1" customHeight="1">
      <c r="D2" s="391" t="str">
        <f>_GENERAL!D2</f>
        <v>Área de la Presidenta: Igualdad y Diversidad, Hacienda y Proyectos Estratégicos</v>
      </c>
    </row>
    <row r="3" spans="1:32" ht="23.1" customHeight="1">
      <c r="D3" s="391" t="str">
        <f>_GENERAL!D3</f>
        <v>Dirección Insular de Hacienda</v>
      </c>
    </row>
    <row r="4" spans="1:32" ht="23.1" customHeight="1" thickBot="1">
      <c r="A4" s="23" t="s">
        <v>195</v>
      </c>
    </row>
    <row r="5" spans="1:32" ht="9" customHeight="1">
      <c r="B5" s="25"/>
      <c r="C5" s="26"/>
      <c r="D5" s="26"/>
      <c r="E5" s="26"/>
      <c r="F5" s="26"/>
      <c r="G5" s="26"/>
      <c r="H5" s="26"/>
      <c r="I5" s="26"/>
      <c r="J5" s="26"/>
      <c r="K5" s="26"/>
      <c r="L5" s="26"/>
      <c r="M5" s="26"/>
      <c r="N5" s="26"/>
      <c r="O5" s="26"/>
      <c r="P5" s="26"/>
      <c r="Q5" s="27"/>
      <c r="S5" s="746"/>
      <c r="T5" s="747"/>
      <c r="U5" s="747"/>
      <c r="V5" s="747"/>
      <c r="W5" s="747"/>
      <c r="X5" s="747"/>
      <c r="Y5" s="747"/>
      <c r="Z5" s="747"/>
      <c r="AA5" s="747"/>
      <c r="AB5" s="747"/>
      <c r="AC5" s="747"/>
      <c r="AD5" s="747"/>
      <c r="AE5" s="747"/>
      <c r="AF5" s="748"/>
    </row>
    <row r="6" spans="1:32" ht="30" customHeight="1">
      <c r="B6" s="28"/>
      <c r="C6" s="1" t="s">
        <v>2</v>
      </c>
      <c r="P6" s="1212">
        <f>ejercicio</f>
        <v>2025</v>
      </c>
      <c r="Q6" s="30"/>
      <c r="S6" s="751"/>
      <c r="T6" s="752"/>
      <c r="U6" s="752"/>
      <c r="V6" s="752"/>
      <c r="W6" s="752"/>
      <c r="X6" s="752"/>
      <c r="Y6" s="752"/>
      <c r="Z6" s="752"/>
      <c r="AA6" s="752"/>
      <c r="AB6" s="752"/>
      <c r="AC6" s="752"/>
      <c r="AD6" s="752"/>
      <c r="AE6" s="752"/>
      <c r="AF6" s="753"/>
    </row>
    <row r="7" spans="1:32" ht="30" customHeight="1">
      <c r="B7" s="28"/>
      <c r="C7" s="1" t="s">
        <v>3</v>
      </c>
      <c r="P7" s="1212"/>
      <c r="Q7" s="30"/>
      <c r="S7" s="754"/>
      <c r="T7" s="755" t="s">
        <v>196</v>
      </c>
      <c r="U7" s="756"/>
      <c r="V7" s="756"/>
      <c r="W7" s="756"/>
      <c r="X7" s="756"/>
      <c r="Y7" s="756"/>
      <c r="Z7" s="756"/>
      <c r="AA7" s="756"/>
      <c r="AB7" s="756"/>
      <c r="AC7" s="756"/>
      <c r="AD7" s="756"/>
      <c r="AE7" s="756"/>
      <c r="AF7" s="757"/>
    </row>
    <row r="8" spans="1:32" ht="30" customHeight="1">
      <c r="B8" s="28"/>
      <c r="C8" s="29"/>
      <c r="P8" s="31"/>
      <c r="Q8" s="30"/>
      <c r="S8" s="754"/>
      <c r="T8" s="756"/>
      <c r="U8" s="756"/>
      <c r="V8" s="756"/>
      <c r="W8" s="756"/>
      <c r="X8" s="756"/>
      <c r="Y8" s="756"/>
      <c r="Z8" s="756"/>
      <c r="AA8" s="756"/>
      <c r="AB8" s="756"/>
      <c r="AC8" s="756"/>
      <c r="AD8" s="756"/>
      <c r="AE8" s="756"/>
      <c r="AF8" s="757"/>
    </row>
    <row r="9" spans="1:32" s="36" customFormat="1" ht="30" customHeight="1">
      <c r="A9" s="412"/>
      <c r="B9" s="874"/>
      <c r="C9" s="20" t="s">
        <v>105</v>
      </c>
      <c r="D9" s="1229" t="str">
        <f>Entidad</f>
        <v>(MERCATENERIFE) Mercados Centrales de Abastecimiento de Tenerife, S.A.</v>
      </c>
      <c r="E9" s="1229"/>
      <c r="F9" s="1229"/>
      <c r="G9" s="1229"/>
      <c r="H9" s="1229"/>
      <c r="I9" s="1229"/>
      <c r="J9" s="1229"/>
      <c r="K9" s="1229"/>
      <c r="L9" s="1229"/>
      <c r="M9" s="1229"/>
      <c r="N9" s="1229"/>
      <c r="O9" s="1229"/>
      <c r="P9" s="1229"/>
      <c r="Q9" s="875"/>
      <c r="R9" s="412"/>
      <c r="S9" s="751"/>
      <c r="T9" s="752"/>
      <c r="U9" s="752"/>
      <c r="V9" s="752"/>
      <c r="W9" s="752"/>
      <c r="X9" s="752"/>
      <c r="Y9" s="752"/>
      <c r="Z9" s="752"/>
      <c r="AA9" s="752"/>
      <c r="AB9" s="752"/>
      <c r="AC9" s="752"/>
      <c r="AD9" s="752"/>
      <c r="AE9" s="752"/>
      <c r="AF9" s="753"/>
    </row>
    <row r="10" spans="1:32" ht="6.95" customHeight="1">
      <c r="B10" s="28"/>
      <c r="Q10" s="30"/>
      <c r="S10" s="751"/>
      <c r="T10" s="752"/>
      <c r="U10" s="752"/>
      <c r="V10" s="752"/>
      <c r="W10" s="752"/>
      <c r="X10" s="752"/>
      <c r="Y10" s="752"/>
      <c r="Z10" s="752"/>
      <c r="AA10" s="752"/>
      <c r="AB10" s="752"/>
      <c r="AC10" s="752"/>
      <c r="AD10" s="752"/>
      <c r="AE10" s="752"/>
      <c r="AF10" s="753"/>
    </row>
    <row r="11" spans="1:32" s="38" customFormat="1" ht="30" customHeight="1">
      <c r="B11" s="10"/>
      <c r="C11" s="4" t="s">
        <v>650</v>
      </c>
      <c r="D11" s="4"/>
      <c r="E11" s="4"/>
      <c r="F11" s="4"/>
      <c r="G11" s="4"/>
      <c r="H11" s="4"/>
      <c r="I11" s="4"/>
      <c r="J11" s="4"/>
      <c r="K11" s="4"/>
      <c r="L11" s="4"/>
      <c r="M11" s="4"/>
      <c r="N11" s="4"/>
      <c r="O11" s="4"/>
      <c r="P11" s="4"/>
      <c r="Q11" s="37"/>
      <c r="S11" s="751"/>
      <c r="T11" s="752"/>
      <c r="U11" s="752"/>
      <c r="V11" s="752"/>
      <c r="W11" s="752"/>
      <c r="X11" s="752"/>
      <c r="Y11" s="752"/>
      <c r="Z11" s="752"/>
      <c r="AA11" s="752"/>
      <c r="AB11" s="752"/>
      <c r="AC11" s="752"/>
      <c r="AD11" s="752"/>
      <c r="AE11" s="752"/>
      <c r="AF11" s="753"/>
    </row>
    <row r="12" spans="1:32" s="38" customFormat="1" ht="30" customHeight="1">
      <c r="B12" s="10"/>
      <c r="Q12" s="37"/>
      <c r="S12" s="802"/>
      <c r="T12" s="803"/>
      <c r="U12" s="803"/>
      <c r="V12" s="803"/>
      <c r="W12" s="803"/>
      <c r="X12" s="803"/>
      <c r="Y12" s="803"/>
      <c r="Z12" s="803"/>
      <c r="AA12" s="803"/>
      <c r="AB12" s="803"/>
      <c r="AC12" s="803"/>
      <c r="AD12" s="803"/>
      <c r="AE12" s="803"/>
      <c r="AF12" s="804"/>
    </row>
    <row r="13" spans="1:32" ht="23.1" customHeight="1">
      <c r="B13" s="28"/>
      <c r="C13" s="1330">
        <f>ejercicio-1</f>
        <v>2024</v>
      </c>
      <c r="D13" s="1332" t="s">
        <v>651</v>
      </c>
      <c r="E13" s="575" t="s">
        <v>652</v>
      </c>
      <c r="F13" s="575" t="s">
        <v>653</v>
      </c>
      <c r="G13" s="575" t="s">
        <v>654</v>
      </c>
      <c r="H13" s="575" t="s">
        <v>653</v>
      </c>
      <c r="I13" s="576" t="s">
        <v>655</v>
      </c>
      <c r="J13" s="576" t="s">
        <v>656</v>
      </c>
      <c r="K13" s="576" t="s">
        <v>657</v>
      </c>
      <c r="L13" s="575" t="s">
        <v>658</v>
      </c>
      <c r="M13" s="1321"/>
      <c r="N13" s="1322"/>
      <c r="O13" s="1322"/>
      <c r="P13" s="1323"/>
      <c r="Q13" s="30"/>
      <c r="S13" s="751"/>
      <c r="T13" s="752"/>
      <c r="U13" s="752"/>
      <c r="V13" s="752"/>
      <c r="W13" s="752"/>
      <c r="X13" s="752"/>
      <c r="Y13" s="752"/>
      <c r="Z13" s="752"/>
      <c r="AA13" s="752"/>
      <c r="AB13" s="752"/>
      <c r="AC13" s="752"/>
      <c r="AD13" s="752"/>
      <c r="AE13" s="752"/>
      <c r="AF13" s="753"/>
    </row>
    <row r="14" spans="1:32" ht="23.1" customHeight="1">
      <c r="B14" s="28"/>
      <c r="C14" s="1331"/>
      <c r="D14" s="1333"/>
      <c r="E14" s="577">
        <f>ejercicio-2</f>
        <v>2023</v>
      </c>
      <c r="F14" s="372" t="s">
        <v>578</v>
      </c>
      <c r="G14" s="372" t="s">
        <v>578</v>
      </c>
      <c r="H14" s="372" t="s">
        <v>659</v>
      </c>
      <c r="I14" s="578" t="s">
        <v>660</v>
      </c>
      <c r="J14" s="579" t="s">
        <v>661</v>
      </c>
      <c r="K14" s="578" t="s">
        <v>662</v>
      </c>
      <c r="L14" s="577">
        <f>ejercicio-1</f>
        <v>2024</v>
      </c>
      <c r="M14" s="1318" t="s">
        <v>663</v>
      </c>
      <c r="N14" s="1319"/>
      <c r="O14" s="1319"/>
      <c r="P14" s="1320"/>
      <c r="Q14" s="30"/>
      <c r="S14" s="751"/>
      <c r="T14" s="752"/>
      <c r="U14" s="752"/>
      <c r="V14" s="752"/>
      <c r="W14" s="752"/>
      <c r="X14" s="752"/>
      <c r="Y14" s="752"/>
      <c r="Z14" s="752"/>
      <c r="AA14" s="752"/>
      <c r="AB14" s="752"/>
      <c r="AC14" s="752"/>
      <c r="AD14" s="752"/>
      <c r="AE14" s="752"/>
      <c r="AF14" s="753"/>
    </row>
    <row r="15" spans="1:32" ht="23.1" customHeight="1">
      <c r="B15" s="28"/>
      <c r="C15" s="95"/>
      <c r="D15" s="55"/>
      <c r="E15" s="90"/>
      <c r="F15" s="90"/>
      <c r="G15" s="90"/>
      <c r="H15" s="90"/>
      <c r="I15" s="90"/>
      <c r="J15" s="90"/>
      <c r="K15" s="90"/>
      <c r="L15" s="90"/>
      <c r="M15" s="1324"/>
      <c r="N15" s="1325"/>
      <c r="O15" s="1325"/>
      <c r="P15" s="1326"/>
      <c r="Q15" s="30"/>
      <c r="S15" s="751"/>
      <c r="T15" s="752"/>
      <c r="U15" s="752"/>
      <c r="V15" s="752"/>
      <c r="W15" s="752"/>
      <c r="X15" s="752"/>
      <c r="Y15" s="752"/>
      <c r="Z15" s="752"/>
      <c r="AA15" s="752"/>
      <c r="AB15" s="752"/>
      <c r="AC15" s="752"/>
      <c r="AD15" s="752"/>
      <c r="AE15" s="752"/>
      <c r="AF15" s="753"/>
    </row>
    <row r="16" spans="1:32" s="45" customFormat="1" ht="27" customHeight="1">
      <c r="B16" s="10"/>
      <c r="C16" s="97" t="s">
        <v>395</v>
      </c>
      <c r="D16" s="53" t="s">
        <v>577</v>
      </c>
      <c r="E16" s="91">
        <f t="shared" ref="E16:L16" si="0">+E17+E20+E21+E26+E27+E30+E31+E32+E33</f>
        <v>22608575.009999998</v>
      </c>
      <c r="F16" s="91">
        <f t="shared" si="0"/>
        <v>0</v>
      </c>
      <c r="G16" s="91">
        <f t="shared" si="0"/>
        <v>0</v>
      </c>
      <c r="H16" s="91">
        <f t="shared" si="0"/>
        <v>0</v>
      </c>
      <c r="I16" s="91">
        <f t="shared" si="0"/>
        <v>-1000000</v>
      </c>
      <c r="J16" s="91">
        <f t="shared" si="0"/>
        <v>0</v>
      </c>
      <c r="K16" s="91">
        <f t="shared" si="0"/>
        <v>1718047.4200000006</v>
      </c>
      <c r="L16" s="91">
        <f t="shared" si="0"/>
        <v>23326622.43</v>
      </c>
      <c r="M16" s="1327"/>
      <c r="N16" s="1328"/>
      <c r="O16" s="1328"/>
      <c r="P16" s="1329"/>
      <c r="Q16" s="37"/>
      <c r="S16" s="751"/>
      <c r="T16" s="752"/>
      <c r="U16" s="752"/>
      <c r="V16" s="752"/>
      <c r="W16" s="752"/>
      <c r="X16" s="752"/>
      <c r="Y16" s="752"/>
      <c r="Z16" s="752"/>
      <c r="AA16" s="752"/>
      <c r="AB16" s="752"/>
      <c r="AC16" s="752"/>
      <c r="AD16" s="752"/>
      <c r="AE16" s="752"/>
      <c r="AF16" s="753"/>
    </row>
    <row r="17" spans="2:32" ht="27" customHeight="1">
      <c r="B17" s="28"/>
      <c r="C17" s="99" t="s">
        <v>507</v>
      </c>
      <c r="D17" s="43" t="s">
        <v>578</v>
      </c>
      <c r="E17" s="92">
        <f t="shared" ref="E17:L17" si="1">SUM(E18:E19)</f>
        <v>5133681.9000000004</v>
      </c>
      <c r="F17" s="92">
        <f t="shared" si="1"/>
        <v>0</v>
      </c>
      <c r="G17" s="92">
        <f t="shared" si="1"/>
        <v>0</v>
      </c>
      <c r="H17" s="92">
        <f t="shared" si="1"/>
        <v>0</v>
      </c>
      <c r="I17" s="92">
        <f t="shared" si="1"/>
        <v>0</v>
      </c>
      <c r="J17" s="92">
        <f t="shared" si="1"/>
        <v>0</v>
      </c>
      <c r="K17" s="92">
        <f t="shared" si="1"/>
        <v>0</v>
      </c>
      <c r="L17" s="92">
        <f t="shared" si="1"/>
        <v>5133681.9000000004</v>
      </c>
      <c r="M17" s="1315"/>
      <c r="N17" s="1316"/>
      <c r="O17" s="1316"/>
      <c r="P17" s="1317"/>
      <c r="Q17" s="30"/>
      <c r="S17" s="751"/>
      <c r="T17" s="752"/>
      <c r="U17" s="752"/>
      <c r="V17" s="752"/>
      <c r="W17" s="752"/>
      <c r="X17" s="752"/>
      <c r="Y17" s="752"/>
      <c r="Z17" s="752"/>
      <c r="AA17" s="752"/>
      <c r="AB17" s="752"/>
      <c r="AC17" s="752"/>
      <c r="AD17" s="752"/>
      <c r="AE17" s="752"/>
      <c r="AF17" s="753"/>
    </row>
    <row r="18" spans="2:32" ht="27" customHeight="1">
      <c r="B18" s="28"/>
      <c r="C18" s="952" t="s">
        <v>328</v>
      </c>
      <c r="D18" s="629" t="s">
        <v>579</v>
      </c>
      <c r="E18" s="896">
        <f>'FC-4_PASIVO'!E19</f>
        <v>5133681.9000000004</v>
      </c>
      <c r="F18" s="821"/>
      <c r="G18" s="821"/>
      <c r="H18" s="821"/>
      <c r="I18" s="821"/>
      <c r="J18" s="821"/>
      <c r="K18" s="821"/>
      <c r="L18" s="896">
        <f>SUM(E18:K18)</f>
        <v>5133681.9000000004</v>
      </c>
      <c r="M18" s="1303"/>
      <c r="N18" s="1304"/>
      <c r="O18" s="1304"/>
      <c r="P18" s="1305"/>
      <c r="Q18" s="30"/>
      <c r="S18" s="751"/>
      <c r="T18" s="752"/>
      <c r="U18" s="752"/>
      <c r="V18" s="752"/>
      <c r="W18" s="752"/>
      <c r="X18" s="752"/>
      <c r="Y18" s="752"/>
      <c r="Z18" s="752"/>
      <c r="AA18" s="752"/>
      <c r="AB18" s="752"/>
      <c r="AC18" s="752"/>
      <c r="AD18" s="752"/>
      <c r="AE18" s="752"/>
      <c r="AF18" s="753"/>
    </row>
    <row r="19" spans="2:32" ht="27" customHeight="1">
      <c r="B19" s="28"/>
      <c r="C19" s="954" t="s">
        <v>336</v>
      </c>
      <c r="D19" s="630" t="s">
        <v>580</v>
      </c>
      <c r="E19" s="957">
        <f>'FC-4_PASIVO'!E20</f>
        <v>0</v>
      </c>
      <c r="F19" s="822"/>
      <c r="G19" s="822"/>
      <c r="H19" s="822"/>
      <c r="I19" s="822"/>
      <c r="J19" s="822"/>
      <c r="K19" s="822"/>
      <c r="L19" s="957">
        <f>SUM(E19:K19)</f>
        <v>0</v>
      </c>
      <c r="M19" s="1306"/>
      <c r="N19" s="1307"/>
      <c r="O19" s="1307"/>
      <c r="P19" s="1308"/>
      <c r="Q19" s="30"/>
      <c r="S19" s="751"/>
      <c r="T19" s="752"/>
      <c r="U19" s="752"/>
      <c r="V19" s="752"/>
      <c r="W19" s="752"/>
      <c r="X19" s="752"/>
      <c r="Y19" s="752"/>
      <c r="Z19" s="752"/>
      <c r="AA19" s="752"/>
      <c r="AB19" s="752"/>
      <c r="AC19" s="752"/>
      <c r="AD19" s="752"/>
      <c r="AE19" s="752"/>
      <c r="AF19" s="753"/>
    </row>
    <row r="20" spans="2:32" ht="27" customHeight="1">
      <c r="B20" s="28"/>
      <c r="C20" s="99" t="s">
        <v>518</v>
      </c>
      <c r="D20" s="43" t="s">
        <v>581</v>
      </c>
      <c r="E20" s="92">
        <f>'FC-4_PASIVO'!E21</f>
        <v>0</v>
      </c>
      <c r="F20" s="272"/>
      <c r="G20" s="272"/>
      <c r="H20" s="272"/>
      <c r="I20" s="272"/>
      <c r="J20" s="272"/>
      <c r="K20" s="272"/>
      <c r="L20" s="92">
        <f>SUM(E20:K20)</f>
        <v>0</v>
      </c>
      <c r="M20" s="1309"/>
      <c r="N20" s="1310"/>
      <c r="O20" s="1310"/>
      <c r="P20" s="1311"/>
      <c r="Q20" s="30"/>
      <c r="S20" s="751"/>
      <c r="T20" s="752"/>
      <c r="U20" s="752"/>
      <c r="V20" s="752"/>
      <c r="W20" s="752"/>
      <c r="X20" s="752"/>
      <c r="Y20" s="752"/>
      <c r="Z20" s="752"/>
      <c r="AA20" s="752"/>
      <c r="AB20" s="752"/>
      <c r="AC20" s="752"/>
      <c r="AD20" s="752"/>
      <c r="AE20" s="752"/>
      <c r="AF20" s="753"/>
    </row>
    <row r="21" spans="2:32" ht="27" customHeight="1">
      <c r="B21" s="28"/>
      <c r="C21" s="99" t="s">
        <v>523</v>
      </c>
      <c r="D21" s="43" t="s">
        <v>582</v>
      </c>
      <c r="E21" s="92">
        <f t="shared" ref="E21:L21" si="2">SUM(E22:E25)</f>
        <v>12452380.100000001</v>
      </c>
      <c r="F21" s="92">
        <f t="shared" si="2"/>
        <v>0</v>
      </c>
      <c r="G21" s="92">
        <f t="shared" si="2"/>
        <v>0</v>
      </c>
      <c r="H21" s="92">
        <f t="shared" si="2"/>
        <v>0</v>
      </c>
      <c r="I21" s="92">
        <f t="shared" si="2"/>
        <v>4022513.01</v>
      </c>
      <c r="J21" s="92">
        <f t="shared" si="2"/>
        <v>0</v>
      </c>
      <c r="K21" s="92">
        <f t="shared" si="2"/>
        <v>0</v>
      </c>
      <c r="L21" s="92">
        <f t="shared" si="2"/>
        <v>16474893.109999999</v>
      </c>
      <c r="M21" s="1315"/>
      <c r="N21" s="1316"/>
      <c r="O21" s="1316"/>
      <c r="P21" s="1317"/>
      <c r="Q21" s="30"/>
      <c r="S21" s="751"/>
      <c r="T21" s="752"/>
      <c r="U21" s="752"/>
      <c r="V21" s="752"/>
      <c r="W21" s="752"/>
      <c r="X21" s="752"/>
      <c r="Y21" s="752"/>
      <c r="Z21" s="752"/>
      <c r="AA21" s="752"/>
      <c r="AB21" s="752"/>
      <c r="AC21" s="752"/>
      <c r="AD21" s="752"/>
      <c r="AE21" s="752"/>
      <c r="AF21" s="753"/>
    </row>
    <row r="22" spans="2:32" ht="27" customHeight="1">
      <c r="B22" s="28"/>
      <c r="C22" s="952" t="s">
        <v>328</v>
      </c>
      <c r="D22" s="629" t="s">
        <v>583</v>
      </c>
      <c r="E22" s="896">
        <f>'FC-4_PASIVO'!E23</f>
        <v>1065120.1200000001</v>
      </c>
      <c r="F22" s="821"/>
      <c r="G22" s="821"/>
      <c r="H22" s="821"/>
      <c r="I22" s="821"/>
      <c r="J22" s="821"/>
      <c r="K22" s="821"/>
      <c r="L22" s="896">
        <f>SUM(E22:K22)</f>
        <v>1065120.1200000001</v>
      </c>
      <c r="M22" s="1303"/>
      <c r="N22" s="1304"/>
      <c r="O22" s="1304"/>
      <c r="P22" s="1305"/>
      <c r="Q22" s="30"/>
      <c r="S22" s="751"/>
      <c r="T22" s="752"/>
      <c r="U22" s="752"/>
      <c r="V22" s="752"/>
      <c r="W22" s="752"/>
      <c r="X22" s="752"/>
      <c r="Y22" s="752"/>
      <c r="Z22" s="752"/>
      <c r="AA22" s="752"/>
      <c r="AB22" s="752"/>
      <c r="AC22" s="752"/>
      <c r="AD22" s="752"/>
      <c r="AE22" s="752"/>
      <c r="AF22" s="753"/>
    </row>
    <row r="23" spans="2:32" ht="27" customHeight="1">
      <c r="B23" s="28"/>
      <c r="C23" s="954" t="s">
        <v>336</v>
      </c>
      <c r="D23" s="630" t="s">
        <v>584</v>
      </c>
      <c r="E23" s="957">
        <f>'FC-4_PASIVO'!E24</f>
        <v>11387259.98</v>
      </c>
      <c r="F23" s="822"/>
      <c r="G23" s="822"/>
      <c r="H23" s="822"/>
      <c r="I23" s="822">
        <v>4022513.01</v>
      </c>
      <c r="J23" s="822"/>
      <c r="K23" s="822"/>
      <c r="L23" s="957">
        <f>SUM(E23:K23)</f>
        <v>15409772.99</v>
      </c>
      <c r="M23" s="1306"/>
      <c r="N23" s="1307"/>
      <c r="O23" s="1307"/>
      <c r="P23" s="1308"/>
      <c r="Q23" s="30"/>
      <c r="S23" s="751"/>
      <c r="T23" s="752"/>
      <c r="U23" s="752"/>
      <c r="V23" s="752"/>
      <c r="W23" s="752"/>
      <c r="X23" s="752"/>
      <c r="Y23" s="752"/>
      <c r="Z23" s="752"/>
      <c r="AA23" s="752"/>
      <c r="AB23" s="752"/>
      <c r="AC23" s="752"/>
      <c r="AD23" s="752"/>
      <c r="AE23" s="752"/>
      <c r="AF23" s="753"/>
    </row>
    <row r="24" spans="2:32" ht="27" customHeight="1">
      <c r="B24" s="28"/>
      <c r="C24" s="954" t="s">
        <v>338</v>
      </c>
      <c r="D24" s="630" t="s">
        <v>585</v>
      </c>
      <c r="E24" s="957">
        <f>'FC-4_PASIVO'!E25</f>
        <v>0</v>
      </c>
      <c r="F24" s="822"/>
      <c r="G24" s="822"/>
      <c r="H24" s="822"/>
      <c r="I24" s="822"/>
      <c r="J24" s="822"/>
      <c r="K24" s="822"/>
      <c r="L24" s="957">
        <f>SUM(E24:K24)</f>
        <v>0</v>
      </c>
      <c r="M24" s="1306"/>
      <c r="N24" s="1307"/>
      <c r="O24" s="1307"/>
      <c r="P24" s="1308"/>
      <c r="Q24" s="30"/>
      <c r="S24" s="751"/>
      <c r="T24" s="752"/>
      <c r="U24" s="752"/>
      <c r="V24" s="752"/>
      <c r="W24" s="752"/>
      <c r="X24" s="752"/>
      <c r="Y24" s="752"/>
      <c r="Z24" s="752"/>
      <c r="AA24" s="752"/>
      <c r="AB24" s="752"/>
      <c r="AC24" s="752"/>
      <c r="AD24" s="752"/>
      <c r="AE24" s="752"/>
      <c r="AF24" s="753"/>
    </row>
    <row r="25" spans="2:32" ht="27" customHeight="1">
      <c r="B25" s="28"/>
      <c r="C25" s="954" t="s">
        <v>340</v>
      </c>
      <c r="D25" s="630" t="s">
        <v>586</v>
      </c>
      <c r="E25" s="957">
        <f>'FC-4_PASIVO'!E26</f>
        <v>0</v>
      </c>
      <c r="F25" s="822"/>
      <c r="G25" s="822"/>
      <c r="H25" s="822"/>
      <c r="I25" s="822"/>
      <c r="J25" s="822"/>
      <c r="K25" s="822"/>
      <c r="L25" s="957">
        <f>SUM(E25:K25)</f>
        <v>0</v>
      </c>
      <c r="M25" s="1306"/>
      <c r="N25" s="1307"/>
      <c r="O25" s="1307"/>
      <c r="P25" s="1308"/>
      <c r="Q25" s="30"/>
      <c r="S25" s="758"/>
      <c r="T25" s="759"/>
      <c r="U25" s="759"/>
      <c r="V25" s="759"/>
      <c r="W25" s="759"/>
      <c r="X25" s="759"/>
      <c r="Y25" s="759"/>
      <c r="Z25" s="759"/>
      <c r="AA25" s="759"/>
      <c r="AB25" s="759"/>
      <c r="AC25" s="759"/>
      <c r="AD25" s="759"/>
      <c r="AE25" s="759"/>
      <c r="AF25" s="760"/>
    </row>
    <row r="26" spans="2:32" ht="27" customHeight="1">
      <c r="B26" s="28"/>
      <c r="C26" s="99" t="s">
        <v>527</v>
      </c>
      <c r="D26" s="43" t="s">
        <v>587</v>
      </c>
      <c r="E26" s="92">
        <f>'FC-4_PASIVO'!E27</f>
        <v>0</v>
      </c>
      <c r="F26" s="272"/>
      <c r="G26" s="272"/>
      <c r="H26" s="272"/>
      <c r="I26" s="272"/>
      <c r="J26" s="272"/>
      <c r="K26" s="272"/>
      <c r="L26" s="92">
        <f>SUM(E26:K26)</f>
        <v>0</v>
      </c>
      <c r="M26" s="1309"/>
      <c r="N26" s="1310"/>
      <c r="O26" s="1310"/>
      <c r="P26" s="1311"/>
      <c r="Q26" s="30"/>
      <c r="S26" s="758"/>
      <c r="T26" s="759"/>
      <c r="U26" s="759"/>
      <c r="V26" s="759"/>
      <c r="W26" s="759"/>
      <c r="X26" s="759"/>
      <c r="Y26" s="759"/>
      <c r="Z26" s="759"/>
      <c r="AA26" s="759"/>
      <c r="AB26" s="759"/>
      <c r="AC26" s="759"/>
      <c r="AD26" s="759"/>
      <c r="AE26" s="759"/>
      <c r="AF26" s="760"/>
    </row>
    <row r="27" spans="2:32" ht="27" customHeight="1">
      <c r="B27" s="28"/>
      <c r="C27" s="99" t="s">
        <v>535</v>
      </c>
      <c r="D27" s="43" t="s">
        <v>588</v>
      </c>
      <c r="E27" s="92">
        <f t="shared" ref="E27:L27" si="3">SUM(E28:E29)</f>
        <v>0</v>
      </c>
      <c r="F27" s="92">
        <f t="shared" si="3"/>
        <v>0</v>
      </c>
      <c r="G27" s="92">
        <f t="shared" si="3"/>
        <v>0</v>
      </c>
      <c r="H27" s="92">
        <f t="shared" si="3"/>
        <v>0</v>
      </c>
      <c r="I27" s="92">
        <f t="shared" si="3"/>
        <v>0</v>
      </c>
      <c r="J27" s="92">
        <f t="shared" si="3"/>
        <v>0</v>
      </c>
      <c r="K27" s="92">
        <f t="shared" si="3"/>
        <v>0</v>
      </c>
      <c r="L27" s="92">
        <f t="shared" si="3"/>
        <v>0</v>
      </c>
      <c r="M27" s="1315"/>
      <c r="N27" s="1316"/>
      <c r="O27" s="1316"/>
      <c r="P27" s="1317"/>
      <c r="Q27" s="30"/>
      <c r="S27" s="751"/>
      <c r="T27" s="752"/>
      <c r="U27" s="752"/>
      <c r="V27" s="752"/>
      <c r="W27" s="752"/>
      <c r="X27" s="752"/>
      <c r="Y27" s="752"/>
      <c r="Z27" s="752"/>
      <c r="AA27" s="752"/>
      <c r="AB27" s="752"/>
      <c r="AC27" s="752"/>
      <c r="AD27" s="752"/>
      <c r="AE27" s="752"/>
      <c r="AF27" s="753"/>
    </row>
    <row r="28" spans="2:32" ht="27" customHeight="1">
      <c r="B28" s="28"/>
      <c r="C28" s="952" t="s">
        <v>328</v>
      </c>
      <c r="D28" s="629" t="s">
        <v>589</v>
      </c>
      <c r="E28" s="896">
        <f>'FC-4_PASIVO'!E29</f>
        <v>0</v>
      </c>
      <c r="F28" s="821"/>
      <c r="G28" s="821"/>
      <c r="H28" s="821"/>
      <c r="I28" s="821"/>
      <c r="J28" s="821"/>
      <c r="K28" s="821"/>
      <c r="L28" s="896">
        <f t="shared" ref="L28:L33" si="4">SUM(E28:K28)</f>
        <v>0</v>
      </c>
      <c r="M28" s="1303"/>
      <c r="N28" s="1304"/>
      <c r="O28" s="1304"/>
      <c r="P28" s="1305"/>
      <c r="Q28" s="30"/>
      <c r="S28" s="751"/>
      <c r="T28" s="752"/>
      <c r="U28" s="752"/>
      <c r="V28" s="752"/>
      <c r="W28" s="752"/>
      <c r="X28" s="752"/>
      <c r="Y28" s="752"/>
      <c r="Z28" s="752"/>
      <c r="AA28" s="752"/>
      <c r="AB28" s="752"/>
      <c r="AC28" s="752"/>
      <c r="AD28" s="752"/>
      <c r="AE28" s="752"/>
      <c r="AF28" s="753"/>
    </row>
    <row r="29" spans="2:32" ht="27" customHeight="1">
      <c r="B29" s="28"/>
      <c r="C29" s="954" t="s">
        <v>336</v>
      </c>
      <c r="D29" s="630" t="s">
        <v>590</v>
      </c>
      <c r="E29" s="957">
        <f>'FC-4_PASIVO'!E30</f>
        <v>0</v>
      </c>
      <c r="F29" s="822"/>
      <c r="G29" s="822"/>
      <c r="H29" s="822"/>
      <c r="I29" s="822"/>
      <c r="J29" s="822"/>
      <c r="K29" s="822"/>
      <c r="L29" s="957">
        <f t="shared" si="4"/>
        <v>0</v>
      </c>
      <c r="M29" s="1306"/>
      <c r="N29" s="1307"/>
      <c r="O29" s="1307"/>
      <c r="P29" s="1308"/>
      <c r="Q29" s="30"/>
      <c r="S29" s="751"/>
      <c r="T29" s="752"/>
      <c r="U29" s="752"/>
      <c r="V29" s="752"/>
      <c r="W29" s="752"/>
      <c r="X29" s="752"/>
      <c r="Y29" s="752"/>
      <c r="Z29" s="752"/>
      <c r="AA29" s="752"/>
      <c r="AB29" s="752"/>
      <c r="AC29" s="752"/>
      <c r="AD29" s="752"/>
      <c r="AE29" s="752"/>
      <c r="AF29" s="753"/>
    </row>
    <row r="30" spans="2:32" ht="27" customHeight="1">
      <c r="B30" s="28"/>
      <c r="C30" s="99" t="s">
        <v>538</v>
      </c>
      <c r="D30" s="43" t="s">
        <v>591</v>
      </c>
      <c r="E30" s="92">
        <f>'FC-4_PASIVO'!E31</f>
        <v>0</v>
      </c>
      <c r="F30" s="272"/>
      <c r="G30" s="272"/>
      <c r="H30" s="272"/>
      <c r="I30" s="272"/>
      <c r="J30" s="272"/>
      <c r="K30" s="272"/>
      <c r="L30" s="92">
        <f t="shared" si="4"/>
        <v>0</v>
      </c>
      <c r="M30" s="1309"/>
      <c r="N30" s="1310"/>
      <c r="O30" s="1310"/>
      <c r="P30" s="1311"/>
      <c r="Q30" s="30"/>
      <c r="S30" s="751"/>
      <c r="T30" s="752"/>
      <c r="U30" s="752"/>
      <c r="V30" s="752"/>
      <c r="W30" s="752"/>
      <c r="X30" s="752"/>
      <c r="Y30" s="752"/>
      <c r="Z30" s="752"/>
      <c r="AA30" s="752"/>
      <c r="AB30" s="752"/>
      <c r="AC30" s="752"/>
      <c r="AD30" s="752"/>
      <c r="AE30" s="752"/>
      <c r="AF30" s="753"/>
    </row>
    <row r="31" spans="2:32" ht="27" customHeight="1">
      <c r="B31" s="28"/>
      <c r="C31" s="99" t="s">
        <v>540</v>
      </c>
      <c r="D31" s="43" t="s">
        <v>592</v>
      </c>
      <c r="E31" s="92">
        <f>'FC-4_PASIVO'!E32</f>
        <v>5022513.01</v>
      </c>
      <c r="F31" s="272"/>
      <c r="G31" s="272"/>
      <c r="H31" s="272"/>
      <c r="I31" s="272">
        <v>-5022513.01</v>
      </c>
      <c r="J31" s="272"/>
      <c r="K31" s="272">
        <f>+'FC-3_CPyG'!G101</f>
        <v>1718047.4200000006</v>
      </c>
      <c r="L31" s="92">
        <f t="shared" si="4"/>
        <v>1718047.4200000006</v>
      </c>
      <c r="M31" s="1315"/>
      <c r="N31" s="1316"/>
      <c r="O31" s="1316"/>
      <c r="P31" s="1317"/>
      <c r="Q31" s="30"/>
      <c r="S31" s="751"/>
      <c r="T31" s="752"/>
      <c r="U31" s="752"/>
      <c r="V31" s="752"/>
      <c r="W31" s="752"/>
      <c r="X31" s="752"/>
      <c r="Y31" s="752"/>
      <c r="Z31" s="752"/>
      <c r="AA31" s="752"/>
      <c r="AB31" s="752"/>
      <c r="AC31" s="752"/>
      <c r="AD31" s="752"/>
      <c r="AE31" s="752"/>
      <c r="AF31" s="753"/>
    </row>
    <row r="32" spans="2:32" ht="27" customHeight="1">
      <c r="B32" s="28"/>
      <c r="C32" s="99" t="s">
        <v>593</v>
      </c>
      <c r="D32" s="43" t="s">
        <v>594</v>
      </c>
      <c r="E32" s="92">
        <f>'FC-4_PASIVO'!E33</f>
        <v>0</v>
      </c>
      <c r="F32" s="272"/>
      <c r="G32" s="272"/>
      <c r="H32" s="272"/>
      <c r="I32" s="272"/>
      <c r="J32" s="272"/>
      <c r="K32" s="272"/>
      <c r="L32" s="92">
        <f t="shared" si="4"/>
        <v>0</v>
      </c>
      <c r="M32" s="1315"/>
      <c r="N32" s="1316"/>
      <c r="O32" s="1316"/>
      <c r="P32" s="1317"/>
      <c r="Q32" s="30"/>
      <c r="S32" s="751"/>
      <c r="T32" s="752"/>
      <c r="U32" s="752"/>
      <c r="V32" s="752"/>
      <c r="W32" s="752"/>
      <c r="X32" s="752"/>
      <c r="Y32" s="752"/>
      <c r="Z32" s="752"/>
      <c r="AA32" s="752"/>
      <c r="AB32" s="752"/>
      <c r="AC32" s="752"/>
      <c r="AD32" s="752"/>
      <c r="AE32" s="752"/>
      <c r="AF32" s="753"/>
    </row>
    <row r="33" spans="2:32" ht="27" customHeight="1">
      <c r="B33" s="28"/>
      <c r="C33" s="99" t="s">
        <v>595</v>
      </c>
      <c r="D33" s="43" t="s">
        <v>596</v>
      </c>
      <c r="E33" s="92">
        <f>'FC-4_PASIVO'!E34</f>
        <v>0</v>
      </c>
      <c r="F33" s="272"/>
      <c r="G33" s="272"/>
      <c r="H33" s="272"/>
      <c r="I33" s="272"/>
      <c r="J33" s="272"/>
      <c r="K33" s="272"/>
      <c r="L33" s="92">
        <f t="shared" si="4"/>
        <v>0</v>
      </c>
      <c r="M33" s="1315"/>
      <c r="N33" s="1316"/>
      <c r="O33" s="1316"/>
      <c r="P33" s="1317"/>
      <c r="Q33" s="30"/>
      <c r="S33" s="751"/>
      <c r="T33" s="752"/>
      <c r="U33" s="752"/>
      <c r="V33" s="752"/>
      <c r="W33" s="752"/>
      <c r="X33" s="752"/>
      <c r="Y33" s="752"/>
      <c r="Z33" s="752"/>
      <c r="AA33" s="752"/>
      <c r="AB33" s="752"/>
      <c r="AC33" s="752"/>
      <c r="AD33" s="752"/>
      <c r="AE33" s="752"/>
      <c r="AF33" s="753"/>
    </row>
    <row r="34" spans="2:32" ht="27" customHeight="1">
      <c r="B34" s="28"/>
      <c r="C34" s="102"/>
      <c r="D34" s="1"/>
      <c r="E34" s="580"/>
      <c r="F34" s="580"/>
      <c r="G34" s="580"/>
      <c r="H34" s="580"/>
      <c r="I34" s="580"/>
      <c r="J34" s="580"/>
      <c r="K34" s="580"/>
      <c r="L34" s="580"/>
      <c r="M34" s="570"/>
      <c r="N34" s="570"/>
      <c r="O34" s="570"/>
      <c r="P34" s="824"/>
      <c r="Q34" s="30"/>
      <c r="S34" s="751"/>
      <c r="T34" s="752"/>
      <c r="U34" s="752"/>
      <c r="V34" s="752"/>
      <c r="W34" s="752"/>
      <c r="X34" s="752"/>
      <c r="Y34" s="752"/>
      <c r="Z34" s="752"/>
      <c r="AA34" s="752"/>
      <c r="AB34" s="752"/>
      <c r="AC34" s="752"/>
      <c r="AD34" s="752"/>
      <c r="AE34" s="752"/>
      <c r="AF34" s="753"/>
    </row>
    <row r="35" spans="2:32" ht="27" customHeight="1">
      <c r="B35" s="28"/>
      <c r="C35" s="851" t="s">
        <v>429</v>
      </c>
      <c r="D35" s="852" t="s">
        <v>664</v>
      </c>
      <c r="E35" s="853"/>
      <c r="F35" s="853"/>
      <c r="G35" s="853"/>
      <c r="H35" s="853"/>
      <c r="I35" s="825">
        <v>1000000</v>
      </c>
      <c r="J35" s="853"/>
      <c r="K35" s="825">
        <v>0</v>
      </c>
      <c r="L35" s="854">
        <f>SUM(I35:K35)</f>
        <v>1000000</v>
      </c>
      <c r="M35" s="1312"/>
      <c r="N35" s="1313"/>
      <c r="O35" s="1313"/>
      <c r="P35" s="1314"/>
      <c r="Q35" s="37"/>
      <c r="S35" s="751"/>
      <c r="T35" s="752"/>
      <c r="U35" s="752"/>
      <c r="V35" s="752"/>
      <c r="W35" s="752"/>
      <c r="X35" s="752"/>
      <c r="Y35" s="752"/>
      <c r="Z35" s="752"/>
      <c r="AA35" s="752"/>
      <c r="AB35" s="752"/>
      <c r="AC35" s="752"/>
      <c r="AD35" s="752"/>
      <c r="AE35" s="752"/>
      <c r="AF35" s="753"/>
    </row>
    <row r="36" spans="2:32" ht="27" customHeight="1">
      <c r="B36" s="28"/>
      <c r="C36" s="959">
        <f>'FC-2_ACCIONISTAS'!F17</f>
        <v>0.42420000000000002</v>
      </c>
      <c r="D36" s="629" t="str">
        <f>'FC-2_ACCIONISTAS'!C17</f>
        <v>Excmo. Cabildo Insular de Tenerife</v>
      </c>
      <c r="E36" s="960"/>
      <c r="F36" s="960"/>
      <c r="G36" s="960"/>
      <c r="H36" s="960"/>
      <c r="I36" s="896">
        <f>IFERROR(I35*$C36,"")</f>
        <v>424200</v>
      </c>
      <c r="J36" s="960"/>
      <c r="K36" s="896">
        <f>IFERROR(K35*$C36,"")</f>
        <v>0</v>
      </c>
      <c r="L36" s="896">
        <f>K36+I36</f>
        <v>424200</v>
      </c>
      <c r="M36" s="1303"/>
      <c r="N36" s="1304"/>
      <c r="O36" s="1304"/>
      <c r="P36" s="1305"/>
      <c r="Q36" s="30"/>
      <c r="S36" s="751"/>
      <c r="T36" s="752"/>
      <c r="U36" s="752"/>
      <c r="V36" s="752"/>
      <c r="W36" s="752"/>
      <c r="X36" s="752"/>
      <c r="Y36" s="752"/>
      <c r="Z36" s="752"/>
      <c r="AA36" s="752"/>
      <c r="AB36" s="752"/>
      <c r="AC36" s="752"/>
      <c r="AD36" s="752"/>
      <c r="AE36" s="752"/>
      <c r="AF36" s="753"/>
    </row>
    <row r="37" spans="2:32" ht="27" customHeight="1">
      <c r="B37" s="28"/>
      <c r="C37" s="961">
        <f>'FC-2_ACCIONISTAS'!F18</f>
        <v>0.407824956976785</v>
      </c>
      <c r="D37" s="412" t="str">
        <f>'FC-2_ACCIONISTAS'!C18</f>
        <v>Mercados Centrales de Abastecimiento,s.a.</v>
      </c>
      <c r="E37" s="962"/>
      <c r="F37" s="962"/>
      <c r="G37" s="962"/>
      <c r="H37" s="962"/>
      <c r="I37" s="963">
        <f>IFERROR(I35*$C37,"")</f>
        <v>407824.95697678498</v>
      </c>
      <c r="J37" s="962"/>
      <c r="K37" s="963">
        <f>IFERROR(K35*$C37,"")</f>
        <v>0</v>
      </c>
      <c r="L37" s="963">
        <f>K37+I37</f>
        <v>407824.95697678498</v>
      </c>
      <c r="M37" s="1306"/>
      <c r="N37" s="1307"/>
      <c r="O37" s="1307"/>
      <c r="P37" s="1308"/>
      <c r="Q37" s="30"/>
      <c r="S37" s="751"/>
      <c r="T37" s="752"/>
      <c r="U37" s="752"/>
      <c r="V37" s="752"/>
      <c r="W37" s="752"/>
      <c r="X37" s="752"/>
      <c r="Y37" s="752"/>
      <c r="Z37" s="752"/>
      <c r="AA37" s="752"/>
      <c r="AB37" s="752"/>
      <c r="AC37" s="752"/>
      <c r="AD37" s="752"/>
      <c r="AE37" s="752"/>
      <c r="AF37" s="753"/>
    </row>
    <row r="38" spans="2:32" ht="27" customHeight="1">
      <c r="B38" s="28"/>
      <c r="C38" s="964">
        <f>1-SUM(C36:C37)</f>
        <v>0.16797504302321498</v>
      </c>
      <c r="D38" s="965" t="s">
        <v>665</v>
      </c>
      <c r="E38" s="966"/>
      <c r="F38" s="966"/>
      <c r="G38" s="966"/>
      <c r="H38" s="966"/>
      <c r="I38" s="967">
        <f>IFERROR(I35*$C38,"")</f>
        <v>167975.04302321497</v>
      </c>
      <c r="J38" s="966"/>
      <c r="K38" s="967">
        <f>IFERROR(K35*$C38,"")</f>
        <v>0</v>
      </c>
      <c r="L38" s="967">
        <f>SUM(I38:K38)</f>
        <v>167975.04302321497</v>
      </c>
      <c r="M38" s="1309"/>
      <c r="N38" s="1310"/>
      <c r="O38" s="1310"/>
      <c r="P38" s="1311"/>
      <c r="Q38" s="30"/>
      <c r="S38" s="751"/>
      <c r="T38" s="752"/>
      <c r="U38" s="752"/>
      <c r="V38" s="752"/>
      <c r="W38" s="752"/>
      <c r="X38" s="752"/>
      <c r="Y38" s="752"/>
      <c r="Z38" s="752"/>
      <c r="AA38" s="752"/>
      <c r="AB38" s="752"/>
      <c r="AC38" s="752"/>
      <c r="AD38" s="752"/>
      <c r="AE38" s="752"/>
      <c r="AF38" s="753"/>
    </row>
    <row r="39" spans="2:32" ht="27" customHeight="1">
      <c r="B39" s="28"/>
      <c r="C39" s="102"/>
      <c r="D39" s="1"/>
      <c r="E39" s="580"/>
      <c r="F39" s="580"/>
      <c r="G39" s="580"/>
      <c r="H39" s="580"/>
      <c r="I39" s="580"/>
      <c r="J39" s="580"/>
      <c r="K39" s="580"/>
      <c r="L39" s="580"/>
      <c r="M39" s="580"/>
      <c r="N39" s="580"/>
      <c r="O39" s="580"/>
      <c r="P39" s="581"/>
      <c r="Q39" s="30"/>
      <c r="S39" s="751"/>
      <c r="T39" s="752"/>
      <c r="U39" s="752"/>
      <c r="V39" s="752"/>
      <c r="W39" s="752"/>
      <c r="X39" s="752"/>
      <c r="Y39" s="752"/>
      <c r="Z39" s="752"/>
      <c r="AA39" s="752"/>
      <c r="AB39" s="752"/>
      <c r="AC39" s="752"/>
      <c r="AD39" s="752"/>
      <c r="AE39" s="752"/>
      <c r="AF39" s="753"/>
    </row>
    <row r="40" spans="2:32" ht="27" customHeight="1">
      <c r="B40" s="28"/>
      <c r="C40" s="1330">
        <f>ejercicio</f>
        <v>2025</v>
      </c>
      <c r="D40" s="1332" t="s">
        <v>651</v>
      </c>
      <c r="E40" s="575" t="str">
        <f>+L13</f>
        <v>Saldo final 31-12</v>
      </c>
      <c r="F40" s="575" t="s">
        <v>653</v>
      </c>
      <c r="G40" s="575" t="s">
        <v>654</v>
      </c>
      <c r="H40" s="575" t="s">
        <v>653</v>
      </c>
      <c r="I40" s="576" t="s">
        <v>655</v>
      </c>
      <c r="J40" s="576" t="s">
        <v>656</v>
      </c>
      <c r="K40" s="576" t="s">
        <v>657</v>
      </c>
      <c r="L40" s="575" t="s">
        <v>658</v>
      </c>
      <c r="M40" s="1321"/>
      <c r="N40" s="1322"/>
      <c r="O40" s="1322"/>
      <c r="P40" s="1323"/>
      <c r="Q40" s="30"/>
      <c r="S40" s="751"/>
      <c r="T40" s="752"/>
      <c r="U40" s="752"/>
      <c r="V40" s="752"/>
      <c r="W40" s="752"/>
      <c r="X40" s="752"/>
      <c r="Y40" s="752"/>
      <c r="Z40" s="752"/>
      <c r="AA40" s="752"/>
      <c r="AB40" s="752"/>
      <c r="AC40" s="752"/>
      <c r="AD40" s="752"/>
      <c r="AE40" s="752"/>
      <c r="AF40" s="753"/>
    </row>
    <row r="41" spans="2:32" ht="27" customHeight="1">
      <c r="B41" s="28"/>
      <c r="C41" s="1331"/>
      <c r="D41" s="1333"/>
      <c r="E41" s="577">
        <f>+L14</f>
        <v>2024</v>
      </c>
      <c r="F41" s="372" t="s">
        <v>578</v>
      </c>
      <c r="G41" s="372" t="s">
        <v>578</v>
      </c>
      <c r="H41" s="372" t="s">
        <v>659</v>
      </c>
      <c r="I41" s="578" t="s">
        <v>660</v>
      </c>
      <c r="J41" s="579" t="s">
        <v>661</v>
      </c>
      <c r="K41" s="578" t="s">
        <v>662</v>
      </c>
      <c r="L41" s="577">
        <f>ejercicio</f>
        <v>2025</v>
      </c>
      <c r="M41" s="1318" t="s">
        <v>663</v>
      </c>
      <c r="N41" s="1319"/>
      <c r="O41" s="1319"/>
      <c r="P41" s="1320"/>
      <c r="Q41" s="30"/>
      <c r="S41" s="751"/>
      <c r="T41" s="752"/>
      <c r="U41" s="752"/>
      <c r="V41" s="752"/>
      <c r="W41" s="752"/>
      <c r="X41" s="752"/>
      <c r="Y41" s="752"/>
      <c r="Z41" s="752"/>
      <c r="AA41" s="752"/>
      <c r="AB41" s="752"/>
      <c r="AC41" s="752"/>
      <c r="AD41" s="752"/>
      <c r="AE41" s="752"/>
      <c r="AF41" s="753"/>
    </row>
    <row r="42" spans="2:32" ht="27" customHeight="1">
      <c r="B42" s="28"/>
      <c r="C42" s="95"/>
      <c r="D42" s="55"/>
      <c r="E42" s="90"/>
      <c r="F42" s="90"/>
      <c r="G42" s="90"/>
      <c r="H42" s="90"/>
      <c r="I42" s="90"/>
      <c r="J42" s="90"/>
      <c r="K42" s="90"/>
      <c r="L42" s="90"/>
      <c r="M42" s="1324"/>
      <c r="N42" s="1325"/>
      <c r="O42" s="1325"/>
      <c r="P42" s="1326"/>
      <c r="Q42" s="30"/>
      <c r="S42" s="751"/>
      <c r="T42" s="752"/>
      <c r="U42" s="752"/>
      <c r="V42" s="752"/>
      <c r="W42" s="752"/>
      <c r="X42" s="752"/>
      <c r="Y42" s="752"/>
      <c r="Z42" s="752"/>
      <c r="AA42" s="752"/>
      <c r="AB42" s="752"/>
      <c r="AC42" s="752"/>
      <c r="AD42" s="752"/>
      <c r="AE42" s="752"/>
      <c r="AF42" s="753"/>
    </row>
    <row r="43" spans="2:32" ht="27" customHeight="1">
      <c r="B43" s="28"/>
      <c r="C43" s="97" t="s">
        <v>395</v>
      </c>
      <c r="D43" s="53" t="s">
        <v>577</v>
      </c>
      <c r="E43" s="91">
        <f t="shared" ref="E43:L43" si="5">+E44+E47+E48+E53+E54+E57+E58+E59+E60</f>
        <v>23326622.43</v>
      </c>
      <c r="F43" s="91">
        <f t="shared" si="5"/>
        <v>0</v>
      </c>
      <c r="G43" s="91">
        <f t="shared" si="5"/>
        <v>0</v>
      </c>
      <c r="H43" s="91">
        <f t="shared" si="5"/>
        <v>0</v>
      </c>
      <c r="I43" s="91">
        <f t="shared" si="5"/>
        <v>-999999.99999999988</v>
      </c>
      <c r="J43" s="91">
        <f t="shared" si="5"/>
        <v>0</v>
      </c>
      <c r="K43" s="91">
        <f t="shared" si="5"/>
        <v>1610573.64</v>
      </c>
      <c r="L43" s="91">
        <f t="shared" si="5"/>
        <v>23937196.07</v>
      </c>
      <c r="M43" s="1327"/>
      <c r="N43" s="1328"/>
      <c r="O43" s="1328"/>
      <c r="P43" s="1329"/>
      <c r="Q43" s="30"/>
      <c r="S43" s="751"/>
      <c r="T43" s="752"/>
      <c r="U43" s="752"/>
      <c r="V43" s="752"/>
      <c r="W43" s="752"/>
      <c r="X43" s="752"/>
      <c r="Y43" s="752"/>
      <c r="Z43" s="752"/>
      <c r="AA43" s="752"/>
      <c r="AB43" s="752"/>
      <c r="AC43" s="752"/>
      <c r="AD43" s="752"/>
      <c r="AE43" s="752"/>
      <c r="AF43" s="753"/>
    </row>
    <row r="44" spans="2:32" ht="27" customHeight="1">
      <c r="B44" s="28"/>
      <c r="C44" s="99" t="s">
        <v>507</v>
      </c>
      <c r="D44" s="43" t="s">
        <v>578</v>
      </c>
      <c r="E44" s="92">
        <f t="shared" ref="E44:L44" si="6">SUM(E45:E46)</f>
        <v>5133681.9000000004</v>
      </c>
      <c r="F44" s="92">
        <f t="shared" si="6"/>
        <v>0</v>
      </c>
      <c r="G44" s="92">
        <f t="shared" si="6"/>
        <v>0</v>
      </c>
      <c r="H44" s="92">
        <f t="shared" si="6"/>
        <v>0</v>
      </c>
      <c r="I44" s="92">
        <f t="shared" si="6"/>
        <v>0</v>
      </c>
      <c r="J44" s="92">
        <f t="shared" si="6"/>
        <v>0</v>
      </c>
      <c r="K44" s="92">
        <f t="shared" si="6"/>
        <v>0</v>
      </c>
      <c r="L44" s="92">
        <f t="shared" si="6"/>
        <v>5133681.9000000004</v>
      </c>
      <c r="M44" s="1315"/>
      <c r="N44" s="1316"/>
      <c r="O44" s="1316"/>
      <c r="P44" s="1317"/>
      <c r="Q44" s="30"/>
      <c r="S44" s="751"/>
      <c r="T44" s="752"/>
      <c r="U44" s="752"/>
      <c r="V44" s="752"/>
      <c r="W44" s="752"/>
      <c r="X44" s="752"/>
      <c r="Y44" s="752"/>
      <c r="Z44" s="752"/>
      <c r="AA44" s="752"/>
      <c r="AB44" s="752"/>
      <c r="AC44" s="752"/>
      <c r="AD44" s="752"/>
      <c r="AE44" s="752"/>
      <c r="AF44" s="753"/>
    </row>
    <row r="45" spans="2:32" ht="27" customHeight="1">
      <c r="B45" s="28"/>
      <c r="C45" s="952" t="s">
        <v>328</v>
      </c>
      <c r="D45" s="629" t="s">
        <v>579</v>
      </c>
      <c r="E45" s="896">
        <f>+L18</f>
        <v>5133681.9000000004</v>
      </c>
      <c r="F45" s="821"/>
      <c r="G45" s="821"/>
      <c r="H45" s="821"/>
      <c r="I45" s="821"/>
      <c r="J45" s="821"/>
      <c r="K45" s="821"/>
      <c r="L45" s="896">
        <f>SUM(E45:K45)</f>
        <v>5133681.9000000004</v>
      </c>
      <c r="M45" s="1303"/>
      <c r="N45" s="1304"/>
      <c r="O45" s="1304"/>
      <c r="P45" s="1305"/>
      <c r="Q45" s="30"/>
      <c r="S45" s="751"/>
      <c r="T45" s="752"/>
      <c r="U45" s="752"/>
      <c r="V45" s="752"/>
      <c r="W45" s="752"/>
      <c r="X45" s="752"/>
      <c r="Y45" s="752"/>
      <c r="Z45" s="752"/>
      <c r="AA45" s="752"/>
      <c r="AB45" s="752"/>
      <c r="AC45" s="752"/>
      <c r="AD45" s="752"/>
      <c r="AE45" s="752"/>
      <c r="AF45" s="753"/>
    </row>
    <row r="46" spans="2:32" ht="27" customHeight="1">
      <c r="B46" s="28"/>
      <c r="C46" s="954" t="s">
        <v>336</v>
      </c>
      <c r="D46" s="630" t="s">
        <v>580</v>
      </c>
      <c r="E46" s="957">
        <f>+L19</f>
        <v>0</v>
      </c>
      <c r="F46" s="822"/>
      <c r="G46" s="822"/>
      <c r="H46" s="822"/>
      <c r="I46" s="822"/>
      <c r="J46" s="822"/>
      <c r="K46" s="822"/>
      <c r="L46" s="957">
        <f>SUM(E46:K46)</f>
        <v>0</v>
      </c>
      <c r="M46" s="1306"/>
      <c r="N46" s="1307"/>
      <c r="O46" s="1307"/>
      <c r="P46" s="1308"/>
      <c r="Q46" s="30"/>
      <c r="S46" s="751"/>
      <c r="T46" s="752"/>
      <c r="U46" s="752"/>
      <c r="V46" s="752"/>
      <c r="W46" s="752"/>
      <c r="X46" s="752"/>
      <c r="Y46" s="752"/>
      <c r="Z46" s="752"/>
      <c r="AA46" s="752"/>
      <c r="AB46" s="752"/>
      <c r="AC46" s="752"/>
      <c r="AD46" s="752"/>
      <c r="AE46" s="752"/>
      <c r="AF46" s="753"/>
    </row>
    <row r="47" spans="2:32" ht="27" customHeight="1">
      <c r="B47" s="28"/>
      <c r="C47" s="99" t="s">
        <v>518</v>
      </c>
      <c r="D47" s="43" t="s">
        <v>581</v>
      </c>
      <c r="E47" s="92">
        <f>+L20</f>
        <v>0</v>
      </c>
      <c r="F47" s="272"/>
      <c r="G47" s="272"/>
      <c r="H47" s="272"/>
      <c r="I47" s="272"/>
      <c r="J47" s="272"/>
      <c r="K47" s="272"/>
      <c r="L47" s="92">
        <f>SUM(E47:K47)</f>
        <v>0</v>
      </c>
      <c r="M47" s="1309"/>
      <c r="N47" s="1310"/>
      <c r="O47" s="1310"/>
      <c r="P47" s="1311"/>
      <c r="Q47" s="30"/>
      <c r="S47" s="751"/>
      <c r="T47" s="752"/>
      <c r="U47" s="752"/>
      <c r="V47" s="752"/>
      <c r="W47" s="752"/>
      <c r="X47" s="752"/>
      <c r="Y47" s="752"/>
      <c r="Z47" s="752"/>
      <c r="AA47" s="752"/>
      <c r="AB47" s="752"/>
      <c r="AC47" s="752"/>
      <c r="AD47" s="752"/>
      <c r="AE47" s="752"/>
      <c r="AF47" s="753"/>
    </row>
    <row r="48" spans="2:32" ht="27" customHeight="1">
      <c r="B48" s="28"/>
      <c r="C48" s="99" t="s">
        <v>523</v>
      </c>
      <c r="D48" s="43" t="s">
        <v>582</v>
      </c>
      <c r="E48" s="92">
        <f t="shared" ref="E48:L48" si="7">SUM(E49:E52)</f>
        <v>16474893.109999999</v>
      </c>
      <c r="F48" s="92">
        <f t="shared" si="7"/>
        <v>0</v>
      </c>
      <c r="G48" s="92">
        <f t="shared" si="7"/>
        <v>0</v>
      </c>
      <c r="H48" s="92">
        <f t="shared" si="7"/>
        <v>0</v>
      </c>
      <c r="I48" s="92">
        <f t="shared" si="7"/>
        <v>718047.42</v>
      </c>
      <c r="J48" s="92">
        <f t="shared" si="7"/>
        <v>0</v>
      </c>
      <c r="K48" s="92">
        <f t="shared" si="7"/>
        <v>0</v>
      </c>
      <c r="L48" s="92">
        <f t="shared" si="7"/>
        <v>17192940.530000001</v>
      </c>
      <c r="M48" s="1315"/>
      <c r="N48" s="1316"/>
      <c r="O48" s="1316"/>
      <c r="P48" s="1317"/>
      <c r="Q48" s="30"/>
      <c r="S48" s="751"/>
      <c r="T48" s="752"/>
      <c r="U48" s="752"/>
      <c r="V48" s="752"/>
      <c r="W48" s="752"/>
      <c r="X48" s="752"/>
      <c r="Y48" s="752"/>
      <c r="Z48" s="752"/>
      <c r="AA48" s="752"/>
      <c r="AB48" s="752"/>
      <c r="AC48" s="752"/>
      <c r="AD48" s="752"/>
      <c r="AE48" s="752"/>
      <c r="AF48" s="753"/>
    </row>
    <row r="49" spans="2:32" ht="27" customHeight="1">
      <c r="B49" s="28"/>
      <c r="C49" s="952" t="s">
        <v>328</v>
      </c>
      <c r="D49" s="629" t="s">
        <v>583</v>
      </c>
      <c r="E49" s="896">
        <f>+L22</f>
        <v>1065120.1200000001</v>
      </c>
      <c r="F49" s="821"/>
      <c r="G49" s="821"/>
      <c r="H49" s="821"/>
      <c r="I49" s="821"/>
      <c r="J49" s="821"/>
      <c r="K49" s="821"/>
      <c r="L49" s="896">
        <f>SUM(E49:K49)</f>
        <v>1065120.1200000001</v>
      </c>
      <c r="M49" s="1303"/>
      <c r="N49" s="1304"/>
      <c r="O49" s="1304"/>
      <c r="P49" s="1305"/>
      <c r="Q49" s="30"/>
      <c r="S49" s="751"/>
      <c r="T49" s="752"/>
      <c r="U49" s="752"/>
      <c r="V49" s="752"/>
      <c r="W49" s="752"/>
      <c r="X49" s="752"/>
      <c r="Y49" s="752"/>
      <c r="Z49" s="752"/>
      <c r="AA49" s="752"/>
      <c r="AB49" s="752"/>
      <c r="AC49" s="752"/>
      <c r="AD49" s="752"/>
      <c r="AE49" s="752"/>
      <c r="AF49" s="753"/>
    </row>
    <row r="50" spans="2:32" ht="27" customHeight="1">
      <c r="B50" s="28"/>
      <c r="C50" s="954" t="s">
        <v>336</v>
      </c>
      <c r="D50" s="630" t="s">
        <v>584</v>
      </c>
      <c r="E50" s="957">
        <f>+L23</f>
        <v>15409772.99</v>
      </c>
      <c r="F50" s="822"/>
      <c r="G50" s="822"/>
      <c r="H50" s="822"/>
      <c r="I50" s="822">
        <v>718047.42</v>
      </c>
      <c r="J50" s="822"/>
      <c r="K50" s="822"/>
      <c r="L50" s="957">
        <f>SUM(E50:K50)</f>
        <v>16127820.41</v>
      </c>
      <c r="M50" s="1306"/>
      <c r="N50" s="1307"/>
      <c r="O50" s="1307"/>
      <c r="P50" s="1308"/>
      <c r="Q50" s="30"/>
      <c r="S50" s="751"/>
      <c r="T50" s="752"/>
      <c r="U50" s="752"/>
      <c r="V50" s="752"/>
      <c r="W50" s="752"/>
      <c r="X50" s="752"/>
      <c r="Y50" s="752"/>
      <c r="Z50" s="752"/>
      <c r="AA50" s="752"/>
      <c r="AB50" s="752"/>
      <c r="AC50" s="752"/>
      <c r="AD50" s="752"/>
      <c r="AE50" s="752"/>
      <c r="AF50" s="753"/>
    </row>
    <row r="51" spans="2:32" ht="27" customHeight="1">
      <c r="B51" s="28"/>
      <c r="C51" s="954" t="s">
        <v>338</v>
      </c>
      <c r="D51" s="630" t="s">
        <v>585</v>
      </c>
      <c r="E51" s="957">
        <f>+L24</f>
        <v>0</v>
      </c>
      <c r="F51" s="822"/>
      <c r="G51" s="822"/>
      <c r="H51" s="822"/>
      <c r="I51" s="822"/>
      <c r="J51" s="822"/>
      <c r="K51" s="822"/>
      <c r="L51" s="957">
        <f>SUM(E51:K51)</f>
        <v>0</v>
      </c>
      <c r="M51" s="1306"/>
      <c r="N51" s="1307"/>
      <c r="O51" s="1307"/>
      <c r="P51" s="1308"/>
      <c r="Q51" s="30"/>
      <c r="S51" s="751"/>
      <c r="T51" s="752"/>
      <c r="U51" s="752"/>
      <c r="V51" s="752"/>
      <c r="W51" s="752"/>
      <c r="X51" s="752"/>
      <c r="Y51" s="752"/>
      <c r="Z51" s="752"/>
      <c r="AA51" s="752"/>
      <c r="AB51" s="752"/>
      <c r="AC51" s="752"/>
      <c r="AD51" s="752"/>
      <c r="AE51" s="752"/>
      <c r="AF51" s="753"/>
    </row>
    <row r="52" spans="2:32" ht="27" customHeight="1">
      <c r="B52" s="28"/>
      <c r="C52" s="954" t="s">
        <v>340</v>
      </c>
      <c r="D52" s="630" t="s">
        <v>586</v>
      </c>
      <c r="E52" s="957">
        <f>+L25</f>
        <v>0</v>
      </c>
      <c r="F52" s="822"/>
      <c r="G52" s="822"/>
      <c r="H52" s="822"/>
      <c r="I52" s="822"/>
      <c r="J52" s="822"/>
      <c r="K52" s="822"/>
      <c r="L52" s="957">
        <f>SUM(E52:K52)</f>
        <v>0</v>
      </c>
      <c r="M52" s="1306"/>
      <c r="N52" s="1307"/>
      <c r="O52" s="1307"/>
      <c r="P52" s="1308"/>
      <c r="Q52" s="30"/>
      <c r="S52" s="751"/>
      <c r="T52" s="752"/>
      <c r="U52" s="752"/>
      <c r="V52" s="752"/>
      <c r="W52" s="752"/>
      <c r="X52" s="752"/>
      <c r="Y52" s="752"/>
      <c r="Z52" s="752"/>
      <c r="AA52" s="752"/>
      <c r="AB52" s="752"/>
      <c r="AC52" s="752"/>
      <c r="AD52" s="752"/>
      <c r="AE52" s="752"/>
      <c r="AF52" s="753"/>
    </row>
    <row r="53" spans="2:32" ht="27" customHeight="1">
      <c r="B53" s="28"/>
      <c r="C53" s="99" t="s">
        <v>527</v>
      </c>
      <c r="D53" s="43" t="s">
        <v>587</v>
      </c>
      <c r="E53" s="92">
        <f>+L26</f>
        <v>0</v>
      </c>
      <c r="F53" s="272"/>
      <c r="G53" s="272"/>
      <c r="H53" s="272"/>
      <c r="I53" s="272"/>
      <c r="J53" s="272"/>
      <c r="K53" s="272"/>
      <c r="L53" s="92">
        <f>SUM(E53:K53)</f>
        <v>0</v>
      </c>
      <c r="M53" s="1309"/>
      <c r="N53" s="1310"/>
      <c r="O53" s="1310"/>
      <c r="P53" s="1311"/>
      <c r="Q53" s="30"/>
      <c r="S53" s="751"/>
      <c r="T53" s="752"/>
      <c r="U53" s="752"/>
      <c r="V53" s="752"/>
      <c r="W53" s="752"/>
      <c r="X53" s="752"/>
      <c r="Y53" s="752"/>
      <c r="Z53" s="752"/>
      <c r="AA53" s="752"/>
      <c r="AB53" s="752"/>
      <c r="AC53" s="752"/>
      <c r="AD53" s="752"/>
      <c r="AE53" s="752"/>
      <c r="AF53" s="753"/>
    </row>
    <row r="54" spans="2:32" ht="27" customHeight="1">
      <c r="B54" s="28"/>
      <c r="C54" s="99" t="s">
        <v>535</v>
      </c>
      <c r="D54" s="43" t="s">
        <v>588</v>
      </c>
      <c r="E54" s="92">
        <f t="shared" ref="E54:L54" si="8">SUM(E55:E56)</f>
        <v>0</v>
      </c>
      <c r="F54" s="92">
        <f t="shared" si="8"/>
        <v>0</v>
      </c>
      <c r="G54" s="92">
        <f t="shared" si="8"/>
        <v>0</v>
      </c>
      <c r="H54" s="92">
        <f t="shared" si="8"/>
        <v>0</v>
      </c>
      <c r="I54" s="92">
        <f t="shared" si="8"/>
        <v>0</v>
      </c>
      <c r="J54" s="92">
        <f t="shared" si="8"/>
        <v>0</v>
      </c>
      <c r="K54" s="92">
        <f t="shared" si="8"/>
        <v>0</v>
      </c>
      <c r="L54" s="92">
        <f t="shared" si="8"/>
        <v>0</v>
      </c>
      <c r="M54" s="1315"/>
      <c r="N54" s="1316"/>
      <c r="O54" s="1316"/>
      <c r="P54" s="1317"/>
      <c r="Q54" s="30"/>
      <c r="S54" s="751"/>
      <c r="T54" s="752"/>
      <c r="U54" s="752"/>
      <c r="V54" s="752"/>
      <c r="W54" s="752"/>
      <c r="X54" s="752"/>
      <c r="Y54" s="752"/>
      <c r="Z54" s="752"/>
      <c r="AA54" s="752"/>
      <c r="AB54" s="752"/>
      <c r="AC54" s="752"/>
      <c r="AD54" s="752"/>
      <c r="AE54" s="752"/>
      <c r="AF54" s="753"/>
    </row>
    <row r="55" spans="2:32" ht="27" customHeight="1">
      <c r="B55" s="28"/>
      <c r="C55" s="952" t="s">
        <v>328</v>
      </c>
      <c r="D55" s="629" t="s">
        <v>589</v>
      </c>
      <c r="E55" s="896">
        <f t="shared" ref="E55:E60" si="9">+L28</f>
        <v>0</v>
      </c>
      <c r="F55" s="821"/>
      <c r="G55" s="821"/>
      <c r="H55" s="821"/>
      <c r="I55" s="821"/>
      <c r="J55" s="821"/>
      <c r="K55" s="821"/>
      <c r="L55" s="896">
        <f t="shared" ref="L55:L60" si="10">SUM(E55:K55)</f>
        <v>0</v>
      </c>
      <c r="M55" s="1303"/>
      <c r="N55" s="1304"/>
      <c r="O55" s="1304"/>
      <c r="P55" s="1305"/>
      <c r="Q55" s="30"/>
      <c r="S55" s="751"/>
      <c r="T55" s="752"/>
      <c r="U55" s="752"/>
      <c r="V55" s="752"/>
      <c r="W55" s="752"/>
      <c r="X55" s="752"/>
      <c r="Y55" s="752"/>
      <c r="Z55" s="752"/>
      <c r="AA55" s="752"/>
      <c r="AB55" s="752"/>
      <c r="AC55" s="752"/>
      <c r="AD55" s="752"/>
      <c r="AE55" s="752"/>
      <c r="AF55" s="753"/>
    </row>
    <row r="56" spans="2:32" ht="27" customHeight="1">
      <c r="B56" s="28"/>
      <c r="C56" s="954" t="s">
        <v>336</v>
      </c>
      <c r="D56" s="630" t="s">
        <v>590</v>
      </c>
      <c r="E56" s="957">
        <f t="shared" si="9"/>
        <v>0</v>
      </c>
      <c r="F56" s="822"/>
      <c r="G56" s="822"/>
      <c r="H56" s="822"/>
      <c r="I56" s="822"/>
      <c r="J56" s="822"/>
      <c r="K56" s="822"/>
      <c r="L56" s="957">
        <f t="shared" si="10"/>
        <v>0</v>
      </c>
      <c r="M56" s="1306"/>
      <c r="N56" s="1307"/>
      <c r="O56" s="1307"/>
      <c r="P56" s="1308"/>
      <c r="Q56" s="30"/>
      <c r="S56" s="751"/>
      <c r="T56" s="752"/>
      <c r="U56" s="752"/>
      <c r="V56" s="752"/>
      <c r="W56" s="752"/>
      <c r="X56" s="752"/>
      <c r="Y56" s="752"/>
      <c r="Z56" s="752"/>
      <c r="AA56" s="752"/>
      <c r="AB56" s="752"/>
      <c r="AC56" s="752"/>
      <c r="AD56" s="752"/>
      <c r="AE56" s="752"/>
      <c r="AF56" s="753"/>
    </row>
    <row r="57" spans="2:32" ht="27" customHeight="1">
      <c r="B57" s="28"/>
      <c r="C57" s="99" t="s">
        <v>538</v>
      </c>
      <c r="D57" s="43" t="s">
        <v>591</v>
      </c>
      <c r="E57" s="92">
        <f t="shared" si="9"/>
        <v>0</v>
      </c>
      <c r="F57" s="272"/>
      <c r="G57" s="272"/>
      <c r="H57" s="272"/>
      <c r="I57" s="272"/>
      <c r="J57" s="272"/>
      <c r="K57" s="272"/>
      <c r="L57" s="92">
        <f t="shared" si="10"/>
        <v>0</v>
      </c>
      <c r="M57" s="1309"/>
      <c r="N57" s="1310"/>
      <c r="O57" s="1310"/>
      <c r="P57" s="1311"/>
      <c r="Q57" s="30"/>
      <c r="S57" s="751"/>
      <c r="T57" s="752"/>
      <c r="U57" s="752"/>
      <c r="V57" s="752"/>
      <c r="W57" s="752"/>
      <c r="X57" s="752"/>
      <c r="Y57" s="752"/>
      <c r="Z57" s="752"/>
      <c r="AA57" s="752"/>
      <c r="AB57" s="752"/>
      <c r="AC57" s="752"/>
      <c r="AD57" s="752"/>
      <c r="AE57" s="752"/>
      <c r="AF57" s="753"/>
    </row>
    <row r="58" spans="2:32" ht="27" customHeight="1">
      <c r="B58" s="28"/>
      <c r="C58" s="99" t="s">
        <v>540</v>
      </c>
      <c r="D58" s="43" t="s">
        <v>592</v>
      </c>
      <c r="E58" s="92">
        <f t="shared" si="9"/>
        <v>1718047.4200000006</v>
      </c>
      <c r="F58" s="272"/>
      <c r="G58" s="272"/>
      <c r="H58" s="272"/>
      <c r="I58" s="272">
        <v>-1718047.42</v>
      </c>
      <c r="J58" s="272"/>
      <c r="K58" s="272">
        <v>1610573.64</v>
      </c>
      <c r="L58" s="92">
        <f t="shared" si="10"/>
        <v>1610573.6400000006</v>
      </c>
      <c r="M58" s="1315"/>
      <c r="N58" s="1316"/>
      <c r="O58" s="1316"/>
      <c r="P58" s="1317"/>
      <c r="Q58" s="30"/>
      <c r="S58" s="751"/>
      <c r="T58" s="752"/>
      <c r="U58" s="752"/>
      <c r="V58" s="752"/>
      <c r="W58" s="752"/>
      <c r="X58" s="752"/>
      <c r="Y58" s="752"/>
      <c r="Z58" s="752"/>
      <c r="AA58" s="752"/>
      <c r="AB58" s="752"/>
      <c r="AC58" s="752"/>
      <c r="AD58" s="752"/>
      <c r="AE58" s="752"/>
      <c r="AF58" s="753"/>
    </row>
    <row r="59" spans="2:32" ht="27" customHeight="1">
      <c r="B59" s="28"/>
      <c r="C59" s="99" t="s">
        <v>593</v>
      </c>
      <c r="D59" s="43" t="s">
        <v>594</v>
      </c>
      <c r="E59" s="92">
        <f t="shared" si="9"/>
        <v>0</v>
      </c>
      <c r="F59" s="272"/>
      <c r="G59" s="272"/>
      <c r="H59" s="272"/>
      <c r="I59" s="272"/>
      <c r="J59" s="272"/>
      <c r="K59" s="272"/>
      <c r="L59" s="92">
        <f t="shared" si="10"/>
        <v>0</v>
      </c>
      <c r="M59" s="1315"/>
      <c r="N59" s="1316"/>
      <c r="O59" s="1316"/>
      <c r="P59" s="1317"/>
      <c r="Q59" s="30"/>
      <c r="S59" s="751"/>
      <c r="T59" s="752"/>
      <c r="U59" s="752"/>
      <c r="V59" s="752"/>
      <c r="W59" s="752"/>
      <c r="X59" s="752"/>
      <c r="Y59" s="752"/>
      <c r="Z59" s="752"/>
      <c r="AA59" s="752"/>
      <c r="AB59" s="752"/>
      <c r="AC59" s="752"/>
      <c r="AD59" s="752"/>
      <c r="AE59" s="752"/>
      <c r="AF59" s="753"/>
    </row>
    <row r="60" spans="2:32" ht="27" customHeight="1">
      <c r="B60" s="28"/>
      <c r="C60" s="99" t="s">
        <v>595</v>
      </c>
      <c r="D60" s="43" t="s">
        <v>596</v>
      </c>
      <c r="E60" s="92">
        <f t="shared" si="9"/>
        <v>0</v>
      </c>
      <c r="F60" s="272"/>
      <c r="G60" s="272"/>
      <c r="H60" s="272"/>
      <c r="I60" s="272"/>
      <c r="J60" s="272"/>
      <c r="K60" s="272"/>
      <c r="L60" s="92">
        <f t="shared" si="10"/>
        <v>0</v>
      </c>
      <c r="M60" s="1315"/>
      <c r="N60" s="1316"/>
      <c r="O60" s="1316"/>
      <c r="P60" s="1317"/>
      <c r="Q60" s="30"/>
      <c r="S60" s="751"/>
      <c r="T60" s="752"/>
      <c r="U60" s="752"/>
      <c r="V60" s="752"/>
      <c r="W60" s="752"/>
      <c r="X60" s="752"/>
      <c r="Y60" s="752"/>
      <c r="Z60" s="752"/>
      <c r="AA60" s="752"/>
      <c r="AB60" s="752"/>
      <c r="AC60" s="752"/>
      <c r="AD60" s="752"/>
      <c r="AE60" s="752"/>
      <c r="AF60" s="753"/>
    </row>
    <row r="61" spans="2:32" ht="27" customHeight="1">
      <c r="B61" s="28"/>
      <c r="C61" s="102"/>
      <c r="D61" s="1"/>
      <c r="E61" s="580"/>
      <c r="F61" s="580"/>
      <c r="G61" s="580"/>
      <c r="H61" s="580"/>
      <c r="I61" s="580"/>
      <c r="J61" s="580"/>
      <c r="K61" s="580"/>
      <c r="L61" s="580"/>
      <c r="M61" s="570"/>
      <c r="N61" s="570"/>
      <c r="O61" s="570"/>
      <c r="P61" s="824"/>
      <c r="Q61" s="30"/>
      <c r="S61" s="751"/>
      <c r="T61" s="752"/>
      <c r="U61" s="752"/>
      <c r="V61" s="752"/>
      <c r="W61" s="752"/>
      <c r="X61" s="752"/>
      <c r="Y61" s="752"/>
      <c r="Z61" s="752"/>
      <c r="AA61" s="752"/>
      <c r="AB61" s="752"/>
      <c r="AC61" s="752"/>
      <c r="AD61" s="752"/>
      <c r="AE61" s="752"/>
      <c r="AF61" s="753"/>
    </row>
    <row r="62" spans="2:32" ht="27" customHeight="1">
      <c r="B62" s="28"/>
      <c r="C62" s="851" t="s">
        <v>429</v>
      </c>
      <c r="D62" s="852" t="s">
        <v>664</v>
      </c>
      <c r="E62" s="853"/>
      <c r="F62" s="853"/>
      <c r="G62" s="853"/>
      <c r="H62" s="853"/>
      <c r="I62" s="825">
        <v>1000000</v>
      </c>
      <c r="J62" s="853"/>
      <c r="K62" s="825">
        <v>0</v>
      </c>
      <c r="L62" s="854">
        <f>SUM(I62:K62)</f>
        <v>1000000</v>
      </c>
      <c r="M62" s="1312"/>
      <c r="N62" s="1313"/>
      <c r="O62" s="1313"/>
      <c r="P62" s="1314"/>
      <c r="Q62" s="30"/>
      <c r="S62" s="751"/>
      <c r="T62" s="752"/>
      <c r="U62" s="752"/>
      <c r="V62" s="752"/>
      <c r="W62" s="752"/>
      <c r="X62" s="752"/>
      <c r="Y62" s="752"/>
      <c r="Z62" s="752"/>
      <c r="AA62" s="752"/>
      <c r="AB62" s="752"/>
      <c r="AC62" s="752"/>
      <c r="AD62" s="752"/>
      <c r="AE62" s="752"/>
      <c r="AF62" s="753"/>
    </row>
    <row r="63" spans="2:32" ht="27" customHeight="1">
      <c r="B63" s="28"/>
      <c r="C63" s="959">
        <f>'FC-2_ACCIONISTAS'!F17</f>
        <v>0.42420000000000002</v>
      </c>
      <c r="D63" s="629" t="str">
        <f>'FC-2_ACCIONISTAS'!C17</f>
        <v>Excmo. Cabildo Insular de Tenerife</v>
      </c>
      <c r="E63" s="960"/>
      <c r="F63" s="960"/>
      <c r="G63" s="960"/>
      <c r="H63" s="960"/>
      <c r="I63" s="896">
        <f>IFERROR(I62*$C63,"")</f>
        <v>424200</v>
      </c>
      <c r="J63" s="960"/>
      <c r="K63" s="896">
        <f>IFERROR(K62*$C63,"")</f>
        <v>0</v>
      </c>
      <c r="L63" s="896">
        <f>K63+I63</f>
        <v>424200</v>
      </c>
      <c r="M63" s="1303"/>
      <c r="N63" s="1304"/>
      <c r="O63" s="1304"/>
      <c r="P63" s="1305"/>
      <c r="Q63" s="30"/>
      <c r="S63" s="751"/>
      <c r="T63" s="752"/>
      <c r="U63" s="752"/>
      <c r="V63" s="752"/>
      <c r="W63" s="752"/>
      <c r="X63" s="752"/>
      <c r="Y63" s="752"/>
      <c r="Z63" s="752"/>
      <c r="AA63" s="752"/>
      <c r="AB63" s="752"/>
      <c r="AC63" s="752"/>
      <c r="AD63" s="752"/>
      <c r="AE63" s="752"/>
      <c r="AF63" s="753"/>
    </row>
    <row r="64" spans="2:32" ht="27" customHeight="1">
      <c r="B64" s="28"/>
      <c r="C64" s="961">
        <f>'FC-2_ACCIONISTAS'!F18</f>
        <v>0.407824956976785</v>
      </c>
      <c r="D64" s="412" t="str">
        <f>'FC-2_ACCIONISTAS'!C18</f>
        <v>Mercados Centrales de Abastecimiento,s.a.</v>
      </c>
      <c r="E64" s="962"/>
      <c r="F64" s="962"/>
      <c r="G64" s="962"/>
      <c r="H64" s="962"/>
      <c r="I64" s="963">
        <f>IFERROR(I62*$C64,"")</f>
        <v>407824.95697678498</v>
      </c>
      <c r="J64" s="962"/>
      <c r="K64" s="963">
        <f>IFERROR(K62*$C64,"")</f>
        <v>0</v>
      </c>
      <c r="L64" s="963">
        <f>K64+I64</f>
        <v>407824.95697678498</v>
      </c>
      <c r="M64" s="1306"/>
      <c r="N64" s="1307"/>
      <c r="O64" s="1307"/>
      <c r="P64" s="1308"/>
      <c r="Q64" s="30"/>
      <c r="S64" s="751"/>
      <c r="T64" s="752"/>
      <c r="U64" s="752"/>
      <c r="V64" s="752"/>
      <c r="W64" s="752"/>
      <c r="X64" s="752"/>
      <c r="Y64" s="752"/>
      <c r="Z64" s="752"/>
      <c r="AA64" s="752"/>
      <c r="AB64" s="752"/>
      <c r="AC64" s="752"/>
      <c r="AD64" s="752"/>
      <c r="AE64" s="752"/>
      <c r="AF64" s="753"/>
    </row>
    <row r="65" spans="2:32" ht="27" customHeight="1">
      <c r="B65" s="28"/>
      <c r="C65" s="964">
        <f>1-C64-C63</f>
        <v>0.16797504302321498</v>
      </c>
      <c r="D65" s="965" t="s">
        <v>665</v>
      </c>
      <c r="E65" s="966"/>
      <c r="F65" s="966"/>
      <c r="G65" s="966"/>
      <c r="H65" s="966"/>
      <c r="I65" s="967">
        <f>IFERROR(I62*$C65,"")</f>
        <v>167975.04302321497</v>
      </c>
      <c r="J65" s="966"/>
      <c r="K65" s="967">
        <f>IFERROR(K62*$C65,"")</f>
        <v>0</v>
      </c>
      <c r="L65" s="967">
        <f>SUM(I65:K65)</f>
        <v>167975.04302321497</v>
      </c>
      <c r="M65" s="1309"/>
      <c r="N65" s="1310"/>
      <c r="O65" s="1310"/>
      <c r="P65" s="1311"/>
      <c r="Q65" s="30"/>
      <c r="S65" s="751"/>
      <c r="T65" s="752"/>
      <c r="U65" s="752"/>
      <c r="V65" s="752"/>
      <c r="W65" s="752"/>
      <c r="X65" s="752"/>
      <c r="Y65" s="752"/>
      <c r="Z65" s="752"/>
      <c r="AA65" s="752"/>
      <c r="AB65" s="752"/>
      <c r="AC65" s="752"/>
      <c r="AD65" s="752"/>
      <c r="AE65" s="752"/>
      <c r="AF65" s="753"/>
    </row>
    <row r="66" spans="2:32" ht="23.1" customHeight="1" thickBot="1">
      <c r="B66" s="28"/>
      <c r="C66" s="104"/>
      <c r="D66" s="48"/>
      <c r="E66" s="582"/>
      <c r="F66" s="582"/>
      <c r="G66" s="582"/>
      <c r="H66" s="582"/>
      <c r="I66" s="582"/>
      <c r="J66" s="582"/>
      <c r="K66" s="582"/>
      <c r="L66" s="582"/>
      <c r="M66" s="582"/>
      <c r="N66" s="582"/>
      <c r="O66" s="582"/>
      <c r="P66" s="201"/>
      <c r="Q66" s="30"/>
      <c r="S66" s="761"/>
      <c r="T66" s="762"/>
      <c r="U66" s="762"/>
      <c r="V66" s="762"/>
      <c r="W66" s="762"/>
      <c r="X66" s="762"/>
      <c r="Y66" s="762"/>
      <c r="Z66" s="762"/>
      <c r="AA66" s="762"/>
      <c r="AB66" s="762"/>
      <c r="AC66" s="762"/>
      <c r="AD66" s="762"/>
      <c r="AE66" s="762"/>
      <c r="AF66" s="763"/>
    </row>
    <row r="67" spans="2:32" ht="23.1" customHeight="1" thickBot="1">
      <c r="B67" s="32"/>
      <c r="C67" s="1228"/>
      <c r="D67" s="1228"/>
      <c r="E67" s="1228"/>
      <c r="F67" s="1228"/>
      <c r="G67" s="1228"/>
      <c r="H67" s="1228"/>
      <c r="I67" s="1228"/>
      <c r="J67" s="1228"/>
      <c r="K67" s="1228"/>
      <c r="L67" s="1228"/>
      <c r="M67" s="1228"/>
      <c r="N67" s="1228"/>
      <c r="O67" s="1228"/>
      <c r="P67" s="34"/>
      <c r="Q67" s="35"/>
      <c r="S67" s="764"/>
      <c r="T67" s="765"/>
      <c r="U67" s="765"/>
      <c r="V67" s="765"/>
      <c r="W67" s="765"/>
      <c r="X67" s="765"/>
      <c r="Y67" s="765"/>
      <c r="Z67" s="765"/>
      <c r="AA67" s="765"/>
      <c r="AB67" s="765"/>
      <c r="AC67" s="765"/>
      <c r="AD67" s="765"/>
      <c r="AE67" s="765"/>
      <c r="AF67" s="766"/>
    </row>
    <row r="68" spans="2:32" ht="23.1" customHeight="1">
      <c r="R68" s="23" t="s">
        <v>248</v>
      </c>
    </row>
    <row r="69" spans="2:32" ht="12.75">
      <c r="C69" s="19" t="s">
        <v>98</v>
      </c>
      <c r="P69" s="22" t="s">
        <v>666</v>
      </c>
    </row>
    <row r="70" spans="2:32" ht="12.75">
      <c r="C70" s="19" t="s">
        <v>100</v>
      </c>
    </row>
    <row r="71" spans="2:32" ht="12.75">
      <c r="C71" s="19" t="s">
        <v>101</v>
      </c>
    </row>
    <row r="72" spans="2:32" ht="12.75">
      <c r="C72" s="19" t="s">
        <v>102</v>
      </c>
    </row>
    <row r="73" spans="2:32" ht="12.75">
      <c r="C73" s="19" t="s">
        <v>103</v>
      </c>
    </row>
    <row r="74" spans="2:32" ht="23.1" customHeight="1">
      <c r="E74" s="325"/>
      <c r="F74" s="325"/>
      <c r="G74" s="325"/>
      <c r="H74" s="325"/>
      <c r="I74" s="325"/>
      <c r="J74" s="325"/>
      <c r="K74" s="325"/>
      <c r="L74" s="325"/>
      <c r="M74" s="325"/>
      <c r="N74" s="325"/>
      <c r="O74" s="325" t="str">
        <f>IF(_CHECK_LIST!L22&gt;0,"Revisa","")</f>
        <v/>
      </c>
      <c r="P74" s="325" t="str">
        <f>IF(_CHECK_LIST!M22&gt;0,"Revisa","")</f>
        <v/>
      </c>
    </row>
    <row r="77" spans="2:32" ht="12.75"/>
    <row r="78" spans="2:32" ht="12.75"/>
  </sheetData>
  <sheetProtection sheet="1" objects="1" scenarios="1"/>
  <mergeCells count="55">
    <mergeCell ref="M40:P40"/>
    <mergeCell ref="M41:P41"/>
    <mergeCell ref="M42:P43"/>
    <mergeCell ref="C40:C41"/>
    <mergeCell ref="C13:C14"/>
    <mergeCell ref="D13:D14"/>
    <mergeCell ref="D40:D41"/>
    <mergeCell ref="M52:P52"/>
    <mergeCell ref="M46:P46"/>
    <mergeCell ref="M47:P47"/>
    <mergeCell ref="M48:P48"/>
    <mergeCell ref="M31:P31"/>
    <mergeCell ref="M49:P49"/>
    <mergeCell ref="M35:P35"/>
    <mergeCell ref="M26:P26"/>
    <mergeCell ref="M27:P27"/>
    <mergeCell ref="M28:P28"/>
    <mergeCell ref="M29:P29"/>
    <mergeCell ref="M30:P30"/>
    <mergeCell ref="M33:P33"/>
    <mergeCell ref="M32:P32"/>
    <mergeCell ref="M21:P21"/>
    <mergeCell ref="M22:P22"/>
    <mergeCell ref="M23:P23"/>
    <mergeCell ref="M24:P24"/>
    <mergeCell ref="M25:P25"/>
    <mergeCell ref="P6:P7"/>
    <mergeCell ref="D9:P9"/>
    <mergeCell ref="C67:O67"/>
    <mergeCell ref="M14:P14"/>
    <mergeCell ref="M13:P13"/>
    <mergeCell ref="M15:P16"/>
    <mergeCell ref="M17:P17"/>
    <mergeCell ref="M18:P18"/>
    <mergeCell ref="M19:P19"/>
    <mergeCell ref="M20:P20"/>
    <mergeCell ref="M53:P53"/>
    <mergeCell ref="M54:P54"/>
    <mergeCell ref="M55:P55"/>
    <mergeCell ref="M56:P56"/>
    <mergeCell ref="M57:P57"/>
    <mergeCell ref="M44:P44"/>
    <mergeCell ref="M45:P45"/>
    <mergeCell ref="M50:P50"/>
    <mergeCell ref="M51:P51"/>
    <mergeCell ref="M63:P63"/>
    <mergeCell ref="M64:P64"/>
    <mergeCell ref="M65:P65"/>
    <mergeCell ref="M36:P36"/>
    <mergeCell ref="M37:P37"/>
    <mergeCell ref="M38:P38"/>
    <mergeCell ref="M62:P62"/>
    <mergeCell ref="M58:P58"/>
    <mergeCell ref="M59:P59"/>
    <mergeCell ref="M60:P60"/>
  </mergeCells>
  <phoneticPr fontId="5" type="noConversion"/>
  <pageMargins left="0.75000000000000011" right="0.75000000000000011" top="1" bottom="1" header="0.5" footer="0.5"/>
  <pageSetup paperSize="9" scale="26" orientation="landscape" horizontalDpi="4294967292" verticalDpi="4294967292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A021ADFD4519D24493D8FF12D1B35C10" ma:contentTypeVersion="4" ma:contentTypeDescription="Crear nuevo documento." ma:contentTypeScope="" ma:versionID="19b0a5259ac0e7d2da318454d773a0f8">
  <xsd:schema xmlns:xsd="http://www.w3.org/2001/XMLSchema" xmlns:xs="http://www.w3.org/2001/XMLSchema" xmlns:p="http://schemas.microsoft.com/office/2006/metadata/properties" xmlns:ns2="b0b40ea3-bb1f-4625-b58d-a317e8fd7127" targetNamespace="http://schemas.microsoft.com/office/2006/metadata/properties" ma:root="true" ma:fieldsID="c22bb5860e6b77ac79b391fb2fdd0231" ns2:_="">
    <xsd:import namespace="b0b40ea3-bb1f-4625-b58d-a317e8fd7127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SearchProperties" minOccurs="0"/>
                <xsd:element ref="ns2:MediaServiceObjectDetectorVersion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b0b40ea3-bb1f-4625-b58d-a317e8fd7127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SearchProperties" ma:index="10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ObjectDetectorVersions" ma:index="11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ni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Props1.xml><?xml version="1.0" encoding="utf-8"?>
<ds:datastoreItem xmlns:ds="http://schemas.openxmlformats.org/officeDocument/2006/customXml" ds:itemID="{C033FCA4-321F-46D3-A0FF-E2A92F7D0E1A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b0b40ea3-bb1f-4625-b58d-a317e8fd7127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7F9AABC3-2A01-4860-99A2-264B1F7CE345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3995C872-DFE7-45D1-9023-9665EE2D8162}">
  <ds:schemaRefs>
    <ds:schemaRef ds:uri="http://schemas.microsoft.com/office/2006/metadata/properties"/>
    <ds:schemaRef ds:uri="http://schemas.microsoft.com/office/infopath/2007/PartnerControl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27</vt:i4>
      </vt:variant>
      <vt:variant>
        <vt:lpstr>Rangos con nombre</vt:lpstr>
      </vt:variant>
      <vt:variant>
        <vt:i4>79</vt:i4>
      </vt:variant>
    </vt:vector>
  </HeadingPairs>
  <TitlesOfParts>
    <vt:vector size="106" baseType="lpstr">
      <vt:lpstr>_GENERAL</vt:lpstr>
      <vt:lpstr>_CHECK_LIST</vt:lpstr>
      <vt:lpstr>FC-1_ORGANOS_GOBIERNO</vt:lpstr>
      <vt:lpstr>FC-2_ACCIONISTAS</vt:lpstr>
      <vt:lpstr>FC-3_CPyG</vt:lpstr>
      <vt:lpstr>FC-3_1_INF_ADIC_CPyG</vt:lpstr>
      <vt:lpstr>FC-4_ACTIVO</vt:lpstr>
      <vt:lpstr>FC-4_PASIVO</vt:lpstr>
      <vt:lpstr>FC-4_1_MOV_FP</vt:lpstr>
      <vt:lpstr>FC-5_EFE</vt:lpstr>
      <vt:lpstr>FC-6_Inversiones</vt:lpstr>
      <vt:lpstr>FC-7_INF</vt:lpstr>
      <vt:lpstr>FC-8_INV_FINANCIERAS</vt:lpstr>
      <vt:lpstr>FC-9_TRANS_SUBV</vt:lpstr>
      <vt:lpstr>FC-9_1_SUBV_REINT</vt:lpstr>
      <vt:lpstr>FC-10_DEUDAS</vt:lpstr>
      <vt:lpstr>FC-11_DEUDA_VIVA</vt:lpstr>
      <vt:lpstr>FC-12_PERFIL_VTO_DEUDA</vt:lpstr>
      <vt:lpstr>FC-13_PERSONAL</vt:lpstr>
      <vt:lpstr>FC-14_OPER_INTERNAS</vt:lpstr>
      <vt:lpstr>FC-15_ENCARGOS</vt:lpstr>
      <vt:lpstr>_FC-16_ESTAB_PRESUP</vt:lpstr>
      <vt:lpstr>_FC-16_1_ INF_ADIC_ESTAB_PRESUP</vt:lpstr>
      <vt:lpstr>_FC-17_FINANCIACIÓN</vt:lpstr>
      <vt:lpstr>FC-90</vt:lpstr>
      <vt:lpstr>_FC-90_DETALLE</vt:lpstr>
      <vt:lpstr>_FC-100</vt:lpstr>
      <vt:lpstr>_12_1</vt:lpstr>
      <vt:lpstr>_12_2</vt:lpstr>
      <vt:lpstr>_13_1</vt:lpstr>
      <vt:lpstr>_13_2</vt:lpstr>
      <vt:lpstr>_14_1</vt:lpstr>
      <vt:lpstr>_14_2</vt:lpstr>
      <vt:lpstr>_15_1</vt:lpstr>
      <vt:lpstr>_15_2</vt:lpstr>
      <vt:lpstr>_16_1</vt:lpstr>
      <vt:lpstr>_16_2</vt:lpstr>
      <vt:lpstr>_17_1</vt:lpstr>
      <vt:lpstr>_17_2</vt:lpstr>
      <vt:lpstr>_19_1</vt:lpstr>
      <vt:lpstr>_19_2</vt:lpstr>
      <vt:lpstr>_20_1</vt:lpstr>
      <vt:lpstr>_20_2</vt:lpstr>
      <vt:lpstr>_21_1</vt:lpstr>
      <vt:lpstr>_21_2</vt:lpstr>
      <vt:lpstr>_22_1</vt:lpstr>
      <vt:lpstr>_22_2</vt:lpstr>
      <vt:lpstr>_23_1</vt:lpstr>
      <vt:lpstr>_23_2</vt:lpstr>
      <vt:lpstr>_24_1</vt:lpstr>
      <vt:lpstr>_24_2</vt:lpstr>
      <vt:lpstr>_25_1</vt:lpstr>
      <vt:lpstr>_25_2</vt:lpstr>
      <vt:lpstr>_26_1</vt:lpstr>
      <vt:lpstr>_26_2</vt:lpstr>
      <vt:lpstr>_27_1</vt:lpstr>
      <vt:lpstr>_27_2</vt:lpstr>
      <vt:lpstr>_28_1</vt:lpstr>
      <vt:lpstr>_28_2</vt:lpstr>
      <vt:lpstr>_29_1</vt:lpstr>
      <vt:lpstr>_29_2</vt:lpstr>
      <vt:lpstr>_30_1</vt:lpstr>
      <vt:lpstr>_30_2</vt:lpstr>
      <vt:lpstr>_31_1</vt:lpstr>
      <vt:lpstr>_31_2</vt:lpstr>
      <vt:lpstr>_32_1</vt:lpstr>
      <vt:lpstr>_32_2</vt:lpstr>
      <vt:lpstr>_33_1</vt:lpstr>
      <vt:lpstr>_33_2</vt:lpstr>
      <vt:lpstr>_34_1</vt:lpstr>
      <vt:lpstr>_34_2</vt:lpstr>
      <vt:lpstr>_5__1</vt:lpstr>
      <vt:lpstr>_5__2</vt:lpstr>
      <vt:lpstr>_7__1</vt:lpstr>
      <vt:lpstr>_7__2</vt:lpstr>
      <vt:lpstr>_CHECK_LIST!Área_de_impresión</vt:lpstr>
      <vt:lpstr>'_FC-16_1_ INF_ADIC_ESTAB_PRESUP'!Área_de_impresión</vt:lpstr>
      <vt:lpstr>'_FC-16_ESTAB_PRESUP'!Área_de_impresión</vt:lpstr>
      <vt:lpstr>'_FC-17_FINANCIACIÓN'!Área_de_impresión</vt:lpstr>
      <vt:lpstr>_GENERAL!Área_de_impresión</vt:lpstr>
      <vt:lpstr>'FC-1_ORGANOS_GOBIERNO'!Área_de_impresión</vt:lpstr>
      <vt:lpstr>'FC-10_DEUDAS'!Área_de_impresión</vt:lpstr>
      <vt:lpstr>'FC-11_DEUDA_VIVA'!Área_de_impresión</vt:lpstr>
      <vt:lpstr>'FC-12_PERFIL_VTO_DEUDA'!Área_de_impresión</vt:lpstr>
      <vt:lpstr>'FC-13_PERSONAL'!Área_de_impresión</vt:lpstr>
      <vt:lpstr>'FC-14_OPER_INTERNAS'!Área_de_impresión</vt:lpstr>
      <vt:lpstr>'FC-15_ENCARGOS'!Área_de_impresión</vt:lpstr>
      <vt:lpstr>'FC-2_ACCIONISTAS'!Área_de_impresión</vt:lpstr>
      <vt:lpstr>'FC-3_1_INF_ADIC_CPyG'!Área_de_impresión</vt:lpstr>
      <vt:lpstr>'FC-3_CPyG'!Área_de_impresión</vt:lpstr>
      <vt:lpstr>'FC-4_1_MOV_FP'!Área_de_impresión</vt:lpstr>
      <vt:lpstr>'FC-4_ACTIVO'!Área_de_impresión</vt:lpstr>
      <vt:lpstr>'FC-4_PASIVO'!Área_de_impresión</vt:lpstr>
      <vt:lpstr>'FC-5_EFE'!Área_de_impresión</vt:lpstr>
      <vt:lpstr>'FC-6_Inversiones'!Área_de_impresión</vt:lpstr>
      <vt:lpstr>'FC-7_INF'!Área_de_impresión</vt:lpstr>
      <vt:lpstr>'FC-8_INV_FINANCIERAS'!Área_de_impresión</vt:lpstr>
      <vt:lpstr>'FC-9_1_SUBV_REINT'!Área_de_impresión</vt:lpstr>
      <vt:lpstr>'FC-9_TRANS_SUBV'!Área_de_impresión</vt:lpstr>
      <vt:lpstr>'FC-90'!Área_de_impresión</vt:lpstr>
      <vt:lpstr>CCAA</vt:lpstr>
      <vt:lpstr>Codigo</vt:lpstr>
      <vt:lpstr>DEPENDENCIA</vt:lpstr>
      <vt:lpstr>EE_DD</vt:lpstr>
      <vt:lpstr>ejercicio</vt:lpstr>
      <vt:lpstr>Entidad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Abreu</dc:creator>
  <cp:keywords/>
  <dc:description/>
  <cp:lastModifiedBy>Secretaria - Mercatenerife</cp:lastModifiedBy>
  <cp:revision/>
  <dcterms:created xsi:type="dcterms:W3CDTF">2017-09-18T15:25:23Z</dcterms:created>
  <dcterms:modified xsi:type="dcterms:W3CDTF">2026-04-24T12:56:44Z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0x010100A021ADFD4519D24493D8FF12D1B35C10</vt:lpwstr>
  </property>
</Properties>
</file>